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ables/table9.xml" ContentType="application/vnd.openxmlformats-officedocument.spreadsheetml.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filterPrivacy="1"/>
  <bookViews>
    <workbookView xWindow="0" yWindow="0" windowWidth="15360" windowHeight="5652" firstSheet="5" activeTab="5"/>
  </bookViews>
  <sheets>
    <sheet name="Summary 2013-2014" sheetId="5" r:id="rId1"/>
    <sheet name="Sums 13-14" sheetId="3" r:id="rId2"/>
    <sheet name="PTA 2013-2014 Budget" sheetId="2" r:id="rId3"/>
    <sheet name="PTA 2014-2015 Budget" sheetId="4" r:id="rId4"/>
    <sheet name="PTA 2016-2017 Budget" sheetId="17" r:id="rId5"/>
    <sheet name="PTA 2017-2018 Budget (P)" sheetId="18" r:id="rId6"/>
    <sheet name="Sheet2" sheetId="11" r:id="rId7"/>
    <sheet name="Sheet1" sheetId="9" r:id="rId8"/>
    <sheet name="Sheet4" sheetId="14" r:id="rId9"/>
    <sheet name="Sheet5" sheetId="15" r:id="rId10"/>
    <sheet name="Sheet3" sheetId="13" r:id="rId11"/>
    <sheet name="Members 2014-2015" sheetId="6" r:id="rId12"/>
    <sheet name="Inkind Donations" sheetId="10" r:id="rId13"/>
    <sheet name="Sheet6" sheetId="16" r:id="rId14"/>
    <sheet name="Committees" sheetId="7" r:id="rId15"/>
  </sheets>
  <definedNames>
    <definedName name="_xlnm._FilterDatabase" localSheetId="14" hidden="1">Committees!$A$1:$Q$42</definedName>
    <definedName name="_xlnm._FilterDatabase" localSheetId="11" hidden="1">'Members 2014-2015'!$A$1:$L$53</definedName>
    <definedName name="FY" localSheetId="2">'PTA 2013-2014 Budget'!$G$1</definedName>
    <definedName name="FY" localSheetId="3">'PTA 2014-2015 Budget'!$G$1</definedName>
    <definedName name="FY" localSheetId="4">'PTA 2016-2017 Budget'!$G$1</definedName>
    <definedName name="FY" localSheetId="5">'PTA 2017-2018 Budget (P)'!$G$1</definedName>
    <definedName name="FY">#REF!</definedName>
  </definedNames>
  <calcPr calcId="171027"/>
  <pivotCaches>
    <pivotCache cacheId="0" r:id="rId16"/>
    <pivotCache cacheId="1" r:id="rId17"/>
    <pivotCache cacheId="2" r:id="rId18"/>
    <pivotCache cacheId="3" r:id="rId19"/>
  </pivotCaches>
</workbook>
</file>

<file path=xl/calcChain.xml><?xml version="1.0" encoding="utf-8"?>
<calcChain xmlns="http://schemas.openxmlformats.org/spreadsheetml/2006/main">
  <c r="F47" i="18" l="1"/>
  <c r="G47" i="18"/>
  <c r="L23" i="18" l="1"/>
  <c r="D60" i="18"/>
  <c r="D72" i="18"/>
  <c r="F40" i="18"/>
  <c r="G40" i="18"/>
  <c r="F57" i="18"/>
  <c r="F37" i="18"/>
  <c r="F45" i="18"/>
  <c r="F50" i="18"/>
  <c r="F53" i="18"/>
  <c r="F54" i="18"/>
  <c r="F62" i="18"/>
  <c r="F66" i="18"/>
  <c r="F70" i="18"/>
  <c r="C55" i="18"/>
  <c r="C41" i="18"/>
  <c r="G41" i="18" s="1"/>
  <c r="D12" i="18"/>
  <c r="C19" i="18"/>
  <c r="G19" i="18" s="1"/>
  <c r="C18" i="18"/>
  <c r="C12" i="18"/>
  <c r="E72" i="18"/>
  <c r="F71" i="18"/>
  <c r="G71" i="18"/>
  <c r="G70" i="18"/>
  <c r="G69" i="18"/>
  <c r="F69" i="18"/>
  <c r="G68" i="18"/>
  <c r="F68" i="18"/>
  <c r="G67" i="18"/>
  <c r="F67" i="18"/>
  <c r="G66" i="18"/>
  <c r="G65" i="18"/>
  <c r="F65" i="18"/>
  <c r="G64" i="18"/>
  <c r="F64" i="18"/>
  <c r="G63" i="18"/>
  <c r="F63" i="18"/>
  <c r="G62" i="18"/>
  <c r="G61" i="18"/>
  <c r="F61" i="18"/>
  <c r="F60" i="18"/>
  <c r="G59" i="18"/>
  <c r="F59" i="18"/>
  <c r="G58" i="18"/>
  <c r="F58" i="18"/>
  <c r="G57" i="18"/>
  <c r="G56" i="18"/>
  <c r="F56" i="18"/>
  <c r="G55" i="18"/>
  <c r="F55" i="18"/>
  <c r="G54" i="18"/>
  <c r="G53" i="18"/>
  <c r="G52" i="18"/>
  <c r="F52" i="18"/>
  <c r="G51" i="18"/>
  <c r="F51" i="18"/>
  <c r="G50" i="18"/>
  <c r="G49" i="18"/>
  <c r="F49" i="18"/>
  <c r="G48" i="18"/>
  <c r="F48" i="18"/>
  <c r="G46" i="18"/>
  <c r="F46" i="18"/>
  <c r="G45" i="18"/>
  <c r="G44" i="18"/>
  <c r="F44" i="18"/>
  <c r="G43" i="18"/>
  <c r="F43" i="18"/>
  <c r="G42" i="18"/>
  <c r="F42" i="18"/>
  <c r="F41" i="18"/>
  <c r="G39" i="18"/>
  <c r="F39" i="18"/>
  <c r="G38" i="18"/>
  <c r="F38" i="18"/>
  <c r="G37" i="18"/>
  <c r="G36" i="18"/>
  <c r="F36" i="18"/>
  <c r="G35" i="18"/>
  <c r="F35" i="18"/>
  <c r="G34" i="18"/>
  <c r="F34" i="18"/>
  <c r="G32" i="18"/>
  <c r="F32" i="18"/>
  <c r="E32" i="18"/>
  <c r="D32" i="18"/>
  <c r="C32" i="18"/>
  <c r="E20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D20" i="18"/>
  <c r="C20" i="18"/>
  <c r="G11" i="18"/>
  <c r="F11" i="18"/>
  <c r="C40" i="17"/>
  <c r="C59" i="17"/>
  <c r="C70" i="17"/>
  <c r="L20" i="18" l="1"/>
  <c r="C71" i="17"/>
  <c r="F72" i="18"/>
  <c r="G20" i="18"/>
  <c r="G60" i="18"/>
  <c r="C72" i="18"/>
  <c r="G72" i="18" s="1"/>
  <c r="F12" i="18"/>
  <c r="F20" i="18" s="1"/>
  <c r="E18" i="17" l="1"/>
  <c r="E54" i="17"/>
  <c r="E40" i="17"/>
  <c r="E71" i="17" s="1"/>
  <c r="D40" i="17"/>
  <c r="D71" i="17" s="1"/>
  <c r="E19" i="17"/>
  <c r="D18" i="17"/>
  <c r="E12" i="17"/>
  <c r="D12" i="17" l="1"/>
  <c r="C19" i="17"/>
  <c r="C12" i="17"/>
  <c r="F59" i="17" l="1"/>
  <c r="C20" i="17"/>
  <c r="F50" i="17"/>
  <c r="G50" i="17"/>
  <c r="F49" i="17"/>
  <c r="G49" i="17"/>
  <c r="F71" i="17" l="1"/>
  <c r="G35" i="17"/>
  <c r="G36" i="17"/>
  <c r="G37" i="17"/>
  <c r="G38" i="17"/>
  <c r="G39" i="17"/>
  <c r="G41" i="17"/>
  <c r="G42" i="17"/>
  <c r="G43" i="17"/>
  <c r="G44" i="17"/>
  <c r="G45" i="17"/>
  <c r="G46" i="17"/>
  <c r="G47" i="17"/>
  <c r="G48" i="17"/>
  <c r="G51" i="17"/>
  <c r="G52" i="17"/>
  <c r="G54" i="17"/>
  <c r="G55" i="17"/>
  <c r="G56" i="17"/>
  <c r="G58" i="17"/>
  <c r="G60" i="17"/>
  <c r="G61" i="17"/>
  <c r="G62" i="17"/>
  <c r="G63" i="17"/>
  <c r="G64" i="17"/>
  <c r="G65" i="17"/>
  <c r="G66" i="17"/>
  <c r="G67" i="17"/>
  <c r="G68" i="17"/>
  <c r="G69" i="17"/>
  <c r="G70" i="17"/>
  <c r="F51" i="17"/>
  <c r="F53" i="17"/>
  <c r="F54" i="17"/>
  <c r="F40" i="17"/>
  <c r="G40" i="17"/>
  <c r="F34" i="17"/>
  <c r="G34" i="17"/>
  <c r="G57" i="17"/>
  <c r="G53" i="17"/>
  <c r="G19" i="17"/>
  <c r="G13" i="17"/>
  <c r="F70" i="17"/>
  <c r="F69" i="17"/>
  <c r="F68" i="17"/>
  <c r="F67" i="17"/>
  <c r="F66" i="17"/>
  <c r="F65" i="17"/>
  <c r="F64" i="17"/>
  <c r="F63" i="17"/>
  <c r="F62" i="17"/>
  <c r="F61" i="17"/>
  <c r="F60" i="17"/>
  <c r="F58" i="17"/>
  <c r="F57" i="17"/>
  <c r="F55" i="17"/>
  <c r="F52" i="17"/>
  <c r="F48" i="17"/>
  <c r="F47" i="17"/>
  <c r="F46" i="17"/>
  <c r="F45" i="17"/>
  <c r="F44" i="17"/>
  <c r="F43" i="17"/>
  <c r="F42" i="17"/>
  <c r="F41" i="17"/>
  <c r="F39" i="17"/>
  <c r="F38" i="17"/>
  <c r="F37" i="17"/>
  <c r="F36" i="17"/>
  <c r="F35" i="17"/>
  <c r="G32" i="17"/>
  <c r="F32" i="17"/>
  <c r="E32" i="17"/>
  <c r="D32" i="17"/>
  <c r="C32" i="17"/>
  <c r="E20" i="17"/>
  <c r="F19" i="17"/>
  <c r="G18" i="17"/>
  <c r="F18" i="17"/>
  <c r="F17" i="17"/>
  <c r="G17" i="17"/>
  <c r="F16" i="17"/>
  <c r="G16" i="17"/>
  <c r="G15" i="17"/>
  <c r="F15" i="17"/>
  <c r="G14" i="17"/>
  <c r="F14" i="17"/>
  <c r="F13" i="17"/>
  <c r="F12" i="17"/>
  <c r="G12" i="17"/>
  <c r="G11" i="17"/>
  <c r="D20" i="17"/>
  <c r="G59" i="17" l="1"/>
  <c r="G71" i="17"/>
  <c r="G20" i="17"/>
  <c r="F11" i="17"/>
  <c r="F20" i="17" s="1"/>
  <c r="F63" i="4"/>
  <c r="G63" i="4"/>
  <c r="E19" i="4" l="1"/>
  <c r="F42" i="4" l="1"/>
  <c r="G42" i="4"/>
  <c r="E65" i="4" l="1"/>
  <c r="E58" i="4"/>
  <c r="G18" i="4"/>
  <c r="F12" i="4"/>
  <c r="F14" i="4"/>
  <c r="F15" i="4"/>
  <c r="F16" i="4"/>
  <c r="F17" i="4"/>
  <c r="F18" i="4"/>
  <c r="F19" i="4"/>
  <c r="E13" i="4"/>
  <c r="F13" i="4" s="1"/>
  <c r="B47" i="16" l="1"/>
  <c r="B44" i="16"/>
  <c r="B39" i="16"/>
  <c r="B36" i="16"/>
  <c r="B14" i="16"/>
  <c r="F48" i="4" l="1"/>
  <c r="G48" i="4"/>
  <c r="E73" i="4" l="1"/>
  <c r="E53" i="4"/>
  <c r="F54" i="4" l="1"/>
  <c r="G54" i="4"/>
  <c r="G5" i="9" l="1"/>
  <c r="C6" i="9" l="1"/>
  <c r="C5" i="9"/>
  <c r="A12" i="9" l="1"/>
  <c r="C38" i="4" l="1"/>
  <c r="C36" i="4"/>
  <c r="C35" i="4"/>
  <c r="D56" i="4"/>
  <c r="C39" i="4"/>
  <c r="G62" i="4" l="1"/>
  <c r="F62" i="4"/>
  <c r="D35" i="4" l="1"/>
  <c r="D4" i="9"/>
  <c r="F55" i="4" l="1"/>
  <c r="G55" i="4"/>
  <c r="F60" i="4" l="1"/>
  <c r="G60" i="4"/>
  <c r="D65" i="4"/>
  <c r="D73" i="4" s="1"/>
  <c r="F73" i="4" s="1"/>
  <c r="C72" i="4"/>
  <c r="C71" i="4"/>
  <c r="C69" i="4"/>
  <c r="C68" i="4"/>
  <c r="C67" i="4"/>
  <c r="C66" i="4"/>
  <c r="C64" i="4"/>
  <c r="C59" i="4"/>
  <c r="C57" i="4"/>
  <c r="C56" i="4"/>
  <c r="C53" i="4"/>
  <c r="C52" i="4"/>
  <c r="F41" i="4"/>
  <c r="G41" i="4"/>
  <c r="D11" i="4"/>
  <c r="F11" i="4" s="1"/>
  <c r="B36" i="7" l="1"/>
  <c r="C36" i="7"/>
  <c r="B37" i="7"/>
  <c r="C37" i="7"/>
  <c r="B38" i="7"/>
  <c r="C38" i="7"/>
  <c r="A37" i="7"/>
  <c r="A38" i="7"/>
  <c r="Q42" i="7" l="1"/>
  <c r="E42" i="7"/>
  <c r="F42" i="7"/>
  <c r="G42" i="7"/>
  <c r="H42" i="7"/>
  <c r="I42" i="7"/>
  <c r="J42" i="7"/>
  <c r="K42" i="7"/>
  <c r="L42" i="7"/>
  <c r="M42" i="7"/>
  <c r="N42" i="7"/>
  <c r="O42" i="7"/>
  <c r="P42" i="7"/>
  <c r="D42" i="7"/>
  <c r="A3" i="7"/>
  <c r="B3" i="7"/>
  <c r="C3" i="7"/>
  <c r="A4" i="7"/>
  <c r="B4" i="7"/>
  <c r="C4" i="7"/>
  <c r="A5" i="7"/>
  <c r="B5" i="7"/>
  <c r="C5" i="7"/>
  <c r="A6" i="7"/>
  <c r="B6" i="7"/>
  <c r="C6" i="7"/>
  <c r="A7" i="7"/>
  <c r="B7" i="7"/>
  <c r="C7" i="7"/>
  <c r="A8" i="7"/>
  <c r="B8" i="7"/>
  <c r="C8" i="7"/>
  <c r="A9" i="7"/>
  <c r="B9" i="7"/>
  <c r="C9" i="7"/>
  <c r="A10" i="7"/>
  <c r="B10" i="7"/>
  <c r="C10" i="7"/>
  <c r="A11" i="7"/>
  <c r="B11" i="7"/>
  <c r="C11" i="7"/>
  <c r="A12" i="7"/>
  <c r="B12" i="7"/>
  <c r="C12" i="7"/>
  <c r="A13" i="7"/>
  <c r="B13" i="7"/>
  <c r="C13" i="7"/>
  <c r="A14" i="7"/>
  <c r="B14" i="7"/>
  <c r="C14" i="7"/>
  <c r="A15" i="7"/>
  <c r="B15" i="7"/>
  <c r="C15" i="7"/>
  <c r="A16" i="7"/>
  <c r="B16" i="7"/>
  <c r="C16" i="7"/>
  <c r="A17" i="7"/>
  <c r="B17" i="7"/>
  <c r="C17" i="7"/>
  <c r="A18" i="7"/>
  <c r="B18" i="7"/>
  <c r="C18" i="7"/>
  <c r="A19" i="7"/>
  <c r="B19" i="7"/>
  <c r="C19" i="7"/>
  <c r="A20" i="7"/>
  <c r="B20" i="7"/>
  <c r="C20" i="7"/>
  <c r="A21" i="7"/>
  <c r="B21" i="7"/>
  <c r="C21" i="7"/>
  <c r="A22" i="7"/>
  <c r="B22" i="7"/>
  <c r="C22" i="7"/>
  <c r="A23" i="7"/>
  <c r="B23" i="7"/>
  <c r="C23" i="7"/>
  <c r="A24" i="7"/>
  <c r="B24" i="7"/>
  <c r="C24" i="7"/>
  <c r="A25" i="7"/>
  <c r="B25" i="7"/>
  <c r="C25" i="7"/>
  <c r="A26" i="7"/>
  <c r="B26" i="7"/>
  <c r="C26" i="7"/>
  <c r="A27" i="7"/>
  <c r="B27" i="7"/>
  <c r="C27" i="7"/>
  <c r="A28" i="7"/>
  <c r="B28" i="7"/>
  <c r="C28" i="7"/>
  <c r="A29" i="7"/>
  <c r="B29" i="7"/>
  <c r="C29" i="7"/>
  <c r="A30" i="7"/>
  <c r="B30" i="7"/>
  <c r="C30" i="7"/>
  <c r="A31" i="7"/>
  <c r="B31" i="7"/>
  <c r="C31" i="7"/>
  <c r="A32" i="7"/>
  <c r="B32" i="7"/>
  <c r="C32" i="7"/>
  <c r="A33" i="7"/>
  <c r="B33" i="7"/>
  <c r="C33" i="7"/>
  <c r="A34" i="7"/>
  <c r="B34" i="7"/>
  <c r="C34" i="7"/>
  <c r="A35" i="7"/>
  <c r="B35" i="7"/>
  <c r="C35" i="7"/>
  <c r="B2" i="7"/>
  <c r="C2" i="7"/>
  <c r="A54" i="7"/>
  <c r="A55" i="7"/>
  <c r="A56" i="7"/>
  <c r="A2" i="7"/>
  <c r="E55" i="2" l="1"/>
  <c r="C65" i="4" s="1"/>
  <c r="E11" i="2"/>
  <c r="E12" i="5" l="1"/>
  <c r="F22" i="3"/>
  <c r="B21" i="5"/>
  <c r="B22" i="5" l="1"/>
  <c r="G69" i="4"/>
  <c r="F69" i="4"/>
  <c r="F59" i="2"/>
  <c r="G59" i="2"/>
  <c r="D7" i="3"/>
  <c r="F43" i="3"/>
  <c r="D12" i="3"/>
  <c r="D5" i="3"/>
  <c r="D4" i="3"/>
  <c r="G68" i="4" l="1"/>
  <c r="F68" i="4"/>
  <c r="F58" i="2"/>
  <c r="G58" i="2"/>
  <c r="G59" i="4" l="1"/>
  <c r="G64" i="4"/>
  <c r="G65" i="4"/>
  <c r="G66" i="4"/>
  <c r="G67" i="4"/>
  <c r="G71" i="4"/>
  <c r="G72" i="4"/>
  <c r="F59" i="4"/>
  <c r="F64" i="4"/>
  <c r="F54" i="2"/>
  <c r="G54" i="2"/>
  <c r="F52" i="2"/>
  <c r="G52" i="2"/>
  <c r="G36" i="4"/>
  <c r="G37" i="4"/>
  <c r="G38" i="4"/>
  <c r="C43" i="4"/>
  <c r="G43" i="4" s="1"/>
  <c r="C44" i="4"/>
  <c r="G44" i="4" s="1"/>
  <c r="C45" i="4"/>
  <c r="G45" i="4" s="1"/>
  <c r="C47" i="4"/>
  <c r="G47" i="4" s="1"/>
  <c r="C49" i="4"/>
  <c r="G49" i="4" s="1"/>
  <c r="G52" i="4"/>
  <c r="G53" i="4"/>
  <c r="G56" i="4"/>
  <c r="G57" i="4"/>
  <c r="C14" i="4"/>
  <c r="G14" i="4" s="1"/>
  <c r="C16" i="4"/>
  <c r="G16" i="4" s="1"/>
  <c r="C17" i="4"/>
  <c r="G17" i="4" s="1"/>
  <c r="C19" i="4"/>
  <c r="G19" i="4" s="1"/>
  <c r="C13" i="4"/>
  <c r="G13" i="4" s="1"/>
  <c r="C11" i="4"/>
  <c r="G11" i="4" s="1"/>
  <c r="F72" i="4"/>
  <c r="F71" i="4"/>
  <c r="F67" i="4"/>
  <c r="F66" i="4"/>
  <c r="F65" i="4"/>
  <c r="F57" i="4"/>
  <c r="F56" i="4"/>
  <c r="F53" i="4"/>
  <c r="F52" i="4"/>
  <c r="F49" i="4"/>
  <c r="F47" i="4"/>
  <c r="F46" i="4"/>
  <c r="F45" i="4"/>
  <c r="F44" i="4"/>
  <c r="F43" i="4"/>
  <c r="F38" i="4"/>
  <c r="F37" i="4"/>
  <c r="F36" i="4"/>
  <c r="G32" i="4"/>
  <c r="F32" i="4"/>
  <c r="E32" i="4"/>
  <c r="D32" i="4"/>
  <c r="C32" i="4"/>
  <c r="E20" i="4"/>
  <c r="D20" i="4"/>
  <c r="F57" i="2"/>
  <c r="G57" i="2"/>
  <c r="G62" i="2"/>
  <c r="E51" i="2"/>
  <c r="C58" i="4" s="1"/>
  <c r="G58" i="4" s="1"/>
  <c r="E46" i="2"/>
  <c r="F43" i="2"/>
  <c r="G43" i="2"/>
  <c r="D60" i="2"/>
  <c r="D63" i="2" s="1"/>
  <c r="E60" i="2"/>
  <c r="D55" i="2"/>
  <c r="F55" i="2" s="1"/>
  <c r="F41" i="2"/>
  <c r="F37" i="2"/>
  <c r="E36" i="2"/>
  <c r="G32" i="2"/>
  <c r="D32" i="2"/>
  <c r="F32" i="2" s="1"/>
  <c r="E15" i="2"/>
  <c r="C15" i="4" s="1"/>
  <c r="G15" i="4" s="1"/>
  <c r="B18" i="3"/>
  <c r="C18" i="3"/>
  <c r="D11" i="2"/>
  <c r="C11" i="2"/>
  <c r="G11" i="2" s="1"/>
  <c r="G55" i="2"/>
  <c r="F56" i="2"/>
  <c r="G56" i="2"/>
  <c r="G60" i="2"/>
  <c r="F61" i="2"/>
  <c r="G61" i="2"/>
  <c r="F35" i="2"/>
  <c r="G35" i="2"/>
  <c r="F31" i="2"/>
  <c r="G31" i="2"/>
  <c r="F33" i="2"/>
  <c r="G33" i="2"/>
  <c r="F34" i="2"/>
  <c r="G34" i="2"/>
  <c r="F36" i="2"/>
  <c r="F48" i="2"/>
  <c r="G48" i="2"/>
  <c r="F49" i="2"/>
  <c r="G49" i="2"/>
  <c r="F50" i="2"/>
  <c r="G50" i="2"/>
  <c r="F16" i="2"/>
  <c r="G16" i="2"/>
  <c r="C63" i="2"/>
  <c r="F62" i="2"/>
  <c r="G53" i="2"/>
  <c r="F53" i="2"/>
  <c r="G47" i="2"/>
  <c r="F47" i="2"/>
  <c r="F46" i="2"/>
  <c r="G44" i="2"/>
  <c r="F44" i="2"/>
  <c r="G42" i="2"/>
  <c r="F42" i="2"/>
  <c r="G41" i="2"/>
  <c r="G40" i="2"/>
  <c r="F40" i="2"/>
  <c r="G39" i="2"/>
  <c r="F39" i="2"/>
  <c r="G38" i="2"/>
  <c r="F38" i="2"/>
  <c r="G37" i="2"/>
  <c r="G29" i="2"/>
  <c r="F29" i="2"/>
  <c r="E29" i="2"/>
  <c r="D29" i="2"/>
  <c r="C29" i="2"/>
  <c r="D20" i="2"/>
  <c r="C20" i="2"/>
  <c r="G19" i="2"/>
  <c r="F19" i="2"/>
  <c r="G18" i="2"/>
  <c r="F18" i="2"/>
  <c r="G17" i="2"/>
  <c r="F17" i="2"/>
  <c r="F15" i="2"/>
  <c r="G14" i="2"/>
  <c r="F14" i="2"/>
  <c r="G13" i="2"/>
  <c r="F13" i="2"/>
  <c r="F11" i="2"/>
  <c r="F60" i="2" l="1"/>
  <c r="C70" i="4"/>
  <c r="C51" i="4"/>
  <c r="G51" i="4" s="1"/>
  <c r="C46" i="4"/>
  <c r="G46" i="4" s="1"/>
  <c r="G51" i="2"/>
  <c r="G15" i="2"/>
  <c r="F51" i="2"/>
  <c r="G4" i="9"/>
  <c r="G36" i="2"/>
  <c r="G46" i="2"/>
  <c r="D18" i="3"/>
  <c r="G39" i="4"/>
  <c r="F39" i="4"/>
  <c r="G35" i="4"/>
  <c r="F35" i="4"/>
  <c r="C73" i="4"/>
  <c r="F20" i="4"/>
  <c r="F58" i="4"/>
  <c r="E63" i="2"/>
  <c r="F63" i="2"/>
  <c r="G63" i="2"/>
  <c r="E12" i="2" l="1"/>
  <c r="C12" i="4" s="1"/>
  <c r="E65" i="2"/>
  <c r="E67" i="2" s="1"/>
  <c r="G12" i="2"/>
  <c r="J4" i="9"/>
  <c r="G70" i="4"/>
  <c r="G73" i="4" s="1"/>
  <c r="F70" i="4"/>
  <c r="G12" i="4" l="1"/>
  <c r="G20" i="4" s="1"/>
  <c r="C20" i="4"/>
  <c r="E20" i="2"/>
  <c r="G20" i="2" s="1"/>
  <c r="F12" i="2"/>
  <c r="F20" i="2" s="1"/>
</calcChain>
</file>

<file path=xl/sharedStrings.xml><?xml version="1.0" encoding="utf-8"?>
<sst xmlns="http://schemas.openxmlformats.org/spreadsheetml/2006/main" count="1082" uniqueCount="320">
  <si>
    <t>Miscellaneous</t>
  </si>
  <si>
    <t>Donations</t>
  </si>
  <si>
    <t>Insurance</t>
  </si>
  <si>
    <t>Postage</t>
  </si>
  <si>
    <t>PRIOR YEAR</t>
  </si>
  <si>
    <t>PROPOSED</t>
  </si>
  <si>
    <t>ACTUAL</t>
  </si>
  <si>
    <t>+/- PRIOR YEAR</t>
  </si>
  <si>
    <t>REVENUE</t>
  </si>
  <si>
    <t>EXPENSES</t>
  </si>
  <si>
    <t>TOTALS</t>
  </si>
  <si>
    <t>VARIANCE</t>
  </si>
  <si>
    <t>TOAST PTA Budget</t>
  </si>
  <si>
    <t>School Year</t>
  </si>
  <si>
    <t>14-15</t>
  </si>
  <si>
    <t>SY 2013-2014</t>
  </si>
  <si>
    <t>SY 2014-2015</t>
  </si>
  <si>
    <t>Membership</t>
  </si>
  <si>
    <t>Fundraising</t>
  </si>
  <si>
    <t>Grants</t>
  </si>
  <si>
    <t>Recycling/Eco Kids</t>
  </si>
  <si>
    <t>Ballroom Dance</t>
  </si>
  <si>
    <t>13-14</t>
  </si>
  <si>
    <t>SY 2012-2013</t>
  </si>
  <si>
    <t>Scholarship CD</t>
  </si>
  <si>
    <t>Founder's Day</t>
  </si>
  <si>
    <t>Health Fair</t>
  </si>
  <si>
    <t>MST Night (2)</t>
  </si>
  <si>
    <t>Harvest Fest and Dance</t>
  </si>
  <si>
    <t xml:space="preserve">Turkey Shoot </t>
  </si>
  <si>
    <t>PTA Fees ($4 of membership)</t>
  </si>
  <si>
    <t>Movie Nights</t>
  </si>
  <si>
    <t>Night at the Museum</t>
  </si>
  <si>
    <t>After School Activities</t>
  </si>
  <si>
    <t>Soap Box Derby</t>
  </si>
  <si>
    <t>Other</t>
  </si>
  <si>
    <t>TBD</t>
  </si>
  <si>
    <t>School Event Support</t>
  </si>
  <si>
    <t>PTA Events</t>
  </si>
  <si>
    <t>Cultural Fest</t>
  </si>
  <si>
    <t>Family Fun Day</t>
  </si>
  <si>
    <t>Teacher &amp; Classroom Support</t>
  </si>
  <si>
    <t>Teacher Allotments</t>
  </si>
  <si>
    <t>Museum Room</t>
  </si>
  <si>
    <t>Anti-Bullying Program</t>
  </si>
  <si>
    <t>Children's Theater Program</t>
  </si>
  <si>
    <t>Staff Appreciation Lunch</t>
  </si>
  <si>
    <t>Babysitting for Meetings</t>
  </si>
  <si>
    <t>PTA Officer Training</t>
  </si>
  <si>
    <t>Deposits</t>
  </si>
  <si>
    <t>BOX TOPS</t>
  </si>
  <si>
    <t>Field Day</t>
  </si>
  <si>
    <t>Ice Cream Social</t>
  </si>
  <si>
    <t>Garden Grant</t>
  </si>
  <si>
    <t>Debits</t>
  </si>
  <si>
    <t>museum room?</t>
  </si>
  <si>
    <t>rev</t>
  </si>
  <si>
    <t>T</t>
  </si>
  <si>
    <t>P</t>
  </si>
  <si>
    <t>G</t>
  </si>
  <si>
    <t>TOTAL</t>
  </si>
  <si>
    <t>L</t>
  </si>
  <si>
    <t>F</t>
  </si>
  <si>
    <t>total</t>
  </si>
  <si>
    <t>EcoKids/Recycling</t>
  </si>
  <si>
    <t>SBD</t>
  </si>
  <si>
    <t>B</t>
  </si>
  <si>
    <t>Insur.</t>
  </si>
  <si>
    <t>MISC</t>
  </si>
  <si>
    <t>R</t>
  </si>
  <si>
    <t>FD</t>
  </si>
  <si>
    <t>Babysitting</t>
  </si>
  <si>
    <t>Teacher Allotment</t>
  </si>
  <si>
    <t>Fundraiser Payment</t>
  </si>
  <si>
    <t>Lunch (School Appreciation)</t>
  </si>
  <si>
    <t>Recycling</t>
  </si>
  <si>
    <t>Hoffman Car</t>
  </si>
  <si>
    <t>Applebees</t>
  </si>
  <si>
    <t>Candles</t>
  </si>
  <si>
    <t>amount</t>
  </si>
  <si>
    <t>code</t>
  </si>
  <si>
    <t>Row Labels</t>
  </si>
  <si>
    <t>Grand Total</t>
  </si>
  <si>
    <t>Sum of amount</t>
  </si>
  <si>
    <t>founders day gift</t>
  </si>
  <si>
    <t>ice cream social</t>
  </si>
  <si>
    <t>Scholarship CD*</t>
  </si>
  <si>
    <t>Payment Portion Fundraiser</t>
  </si>
  <si>
    <t>School Appreciation Lunch</t>
  </si>
  <si>
    <t>Grant</t>
  </si>
  <si>
    <t>Name</t>
  </si>
  <si>
    <t>Phone</t>
  </si>
  <si>
    <t>Email</t>
  </si>
  <si>
    <t>Status</t>
  </si>
  <si>
    <t>Type</t>
  </si>
  <si>
    <t>Student1</t>
  </si>
  <si>
    <t>Grade</t>
  </si>
  <si>
    <t>Student2</t>
  </si>
  <si>
    <t>Shanise Dickson</t>
  </si>
  <si>
    <t>518 818 0468</t>
  </si>
  <si>
    <t>shades8779@gmail.com</t>
  </si>
  <si>
    <t>paid</t>
  </si>
  <si>
    <t>parent</t>
  </si>
  <si>
    <t>Tahdiri</t>
  </si>
  <si>
    <t>K</t>
  </si>
  <si>
    <t>Khalid Elnagar</t>
  </si>
  <si>
    <t>718 200 1347</t>
  </si>
  <si>
    <t>kelnagar@hotmail.com</t>
  </si>
  <si>
    <t>Belal</t>
  </si>
  <si>
    <t>Ibrahim</t>
  </si>
  <si>
    <t>Tanya Stevens</t>
  </si>
  <si>
    <t>518 527 1213</t>
  </si>
  <si>
    <t>tanilee2003@yahoo.com</t>
  </si>
  <si>
    <t>Jude</t>
  </si>
  <si>
    <t>k</t>
  </si>
  <si>
    <t>Jen Hulett</t>
  </si>
  <si>
    <t>518 727 5408</t>
  </si>
  <si>
    <t>mad.hatters.wife@gmail.com</t>
  </si>
  <si>
    <t>Abigail</t>
  </si>
  <si>
    <t>Matt Hulett</t>
  </si>
  <si>
    <t>519 727 5408</t>
  </si>
  <si>
    <t>Megan Cocci</t>
  </si>
  <si>
    <t>518 475 6875</t>
  </si>
  <si>
    <t>mcocci@albany.k12.ny.us</t>
  </si>
  <si>
    <t>teacher</t>
  </si>
  <si>
    <t>Holly Roberts</t>
  </si>
  <si>
    <t>518 542 7047</t>
  </si>
  <si>
    <t>wegenworth@aol.com</t>
  </si>
  <si>
    <t>Henry</t>
  </si>
  <si>
    <t>PreK</t>
  </si>
  <si>
    <t>David Roberts</t>
  </si>
  <si>
    <t>518 229 4315</t>
  </si>
  <si>
    <t>drconsult@aol.com</t>
  </si>
  <si>
    <t>Emily Shoop</t>
  </si>
  <si>
    <t>518 488 7833</t>
  </si>
  <si>
    <t>eshoop@albany.k12.ny.us</t>
  </si>
  <si>
    <t>Meg Niro</t>
  </si>
  <si>
    <t>518 438 9284</t>
  </si>
  <si>
    <t>Elvige Baynes</t>
  </si>
  <si>
    <t>518 421 3289</t>
  </si>
  <si>
    <t>kouemoelvige@yahoo.fr</t>
  </si>
  <si>
    <t>Lexine</t>
  </si>
  <si>
    <t>Danielle Sinkevich</t>
  </si>
  <si>
    <t>518 301 5045</t>
  </si>
  <si>
    <t>dsink03@gmail.com</t>
  </si>
  <si>
    <t>Alexander</t>
  </si>
  <si>
    <t>Nick Sinkevich</t>
  </si>
  <si>
    <t>518 301 4795</t>
  </si>
  <si>
    <t>nsinke0@aol.com</t>
  </si>
  <si>
    <t>Nichole Katz</t>
  </si>
  <si>
    <t>518 222 1179</t>
  </si>
  <si>
    <t>nicholekatz@gmail.com</t>
  </si>
  <si>
    <t>Jillian</t>
  </si>
  <si>
    <t>Sam</t>
  </si>
  <si>
    <t>Michele Corlew</t>
  </si>
  <si>
    <t>Andy Otoole</t>
  </si>
  <si>
    <t>molly</t>
  </si>
  <si>
    <t>Fitzroy Lewis</t>
  </si>
  <si>
    <t>Fitzpatrick</t>
  </si>
  <si>
    <t>bell</t>
  </si>
  <si>
    <t>Jonathan Mamitag</t>
  </si>
  <si>
    <t>518 496 7610</t>
  </si>
  <si>
    <t>Johann</t>
  </si>
  <si>
    <t>Emily Westin</t>
  </si>
  <si>
    <t>518 463 5211</t>
  </si>
  <si>
    <t>leckmanwestin@gmail.com</t>
  </si>
  <si>
    <t>Caleb</t>
  </si>
  <si>
    <t>Harriet</t>
  </si>
  <si>
    <t>Carrie Coddington</t>
  </si>
  <si>
    <t>Laurie Kirchman</t>
  </si>
  <si>
    <t>Budget</t>
  </si>
  <si>
    <t>Book Fair</t>
  </si>
  <si>
    <t>ByLaws</t>
  </si>
  <si>
    <t>Outdoor Learning</t>
  </si>
  <si>
    <t>Recess</t>
  </si>
  <si>
    <t>Appreciation</t>
  </si>
  <si>
    <t>Admin</t>
  </si>
  <si>
    <t>Corporate Sponsorship</t>
  </si>
  <si>
    <t>School Meeting Rep</t>
  </si>
  <si>
    <t>Kristen Eck</t>
  </si>
  <si>
    <t>Eric Bulson</t>
  </si>
  <si>
    <t>Judy Stevens</t>
  </si>
  <si>
    <t>Royman Tabanao</t>
  </si>
  <si>
    <t>518 322 5756</t>
  </si>
  <si>
    <t>kris5512@aol.com</t>
  </si>
  <si>
    <t>315 725 6003</t>
  </si>
  <si>
    <t>ebulson2001@yahoo.com</t>
  </si>
  <si>
    <t>517 813 4683</t>
  </si>
  <si>
    <t>bammy65@gmail.com</t>
  </si>
  <si>
    <t>Grparent</t>
  </si>
  <si>
    <t>518 291 3586</t>
  </si>
  <si>
    <t>richristabanao@yahoo.com</t>
  </si>
  <si>
    <t>Maria Torres</t>
  </si>
  <si>
    <t>mtorres@albany.k12.ny.us</t>
  </si>
  <si>
    <t>Melissa Tapia</t>
  </si>
  <si>
    <t>518 466 6630</t>
  </si>
  <si>
    <t>missyfit25@msn.com</t>
  </si>
  <si>
    <t>Steve Costello</t>
  </si>
  <si>
    <t>costellolearninglab@gmail.com</t>
  </si>
  <si>
    <t>Demetra Vann</t>
  </si>
  <si>
    <t>518 209 5671</t>
  </si>
  <si>
    <t>demetravann@gmail.com</t>
  </si>
  <si>
    <t>Jack Cornell</t>
  </si>
  <si>
    <t>Bridget Knickerbocker</t>
  </si>
  <si>
    <t>518 396 0639</t>
  </si>
  <si>
    <t>Ajia Cave</t>
  </si>
  <si>
    <t>518 495 7359</t>
  </si>
  <si>
    <t>amcave211@gmail.com</t>
  </si>
  <si>
    <t>Joyce Cornell</t>
  </si>
  <si>
    <t>518 928 2926</t>
  </si>
  <si>
    <t>graceful.j@gmail.com</t>
  </si>
  <si>
    <t>Deb Whipple</t>
  </si>
  <si>
    <t>dwhipple@albany.k12.ny.us</t>
  </si>
  <si>
    <t>Art Flynn</t>
  </si>
  <si>
    <t>x</t>
  </si>
  <si>
    <t>youk1968@gmail.com</t>
  </si>
  <si>
    <t>Member</t>
  </si>
  <si>
    <t>Y</t>
  </si>
  <si>
    <t>phone</t>
  </si>
  <si>
    <t>email</t>
  </si>
  <si>
    <t>attended 1st mtg</t>
  </si>
  <si>
    <t>lewis.fitz@yahoo.com</t>
  </si>
  <si>
    <t>April Bacon</t>
  </si>
  <si>
    <t>518 269 1476</t>
  </si>
  <si>
    <t>volunteer</t>
  </si>
  <si>
    <t>Jamaris Hernandez</t>
  </si>
  <si>
    <t>718 415 1112</t>
  </si>
  <si>
    <t>(blank)</t>
  </si>
  <si>
    <t>Count of Name</t>
  </si>
  <si>
    <t>School Safety</t>
  </si>
  <si>
    <t>Popcorn for events</t>
  </si>
  <si>
    <t>Staff Appreciation</t>
  </si>
  <si>
    <t>Recyclying (NIES)</t>
  </si>
  <si>
    <t>jbcornell@gmail.com</t>
  </si>
  <si>
    <t>aflynn@albany.k12.ny.us</t>
  </si>
  <si>
    <t>bknickerbocker@albany.k12.ny.us</t>
  </si>
  <si>
    <t>Henrik Westin</t>
  </si>
  <si>
    <t>hnwestin@gmail.com</t>
  </si>
  <si>
    <t>Has Card</t>
  </si>
  <si>
    <t>no</t>
  </si>
  <si>
    <t>Founder's Day*</t>
  </si>
  <si>
    <t>PTA Fees ($4 of membership)*</t>
  </si>
  <si>
    <t>Teacher and Staff Allotments</t>
  </si>
  <si>
    <t>Other Accounts</t>
  </si>
  <si>
    <t>Use Reserve Funds</t>
  </si>
  <si>
    <t>Ballroom Dance Donation</t>
  </si>
  <si>
    <t>Jeremy Kirchman</t>
  </si>
  <si>
    <t>Julie Yanson</t>
  </si>
  <si>
    <t>518 281 0025</t>
  </si>
  <si>
    <t>mcleanyanson@gmail.com</t>
  </si>
  <si>
    <t>* monies belonging to the parent PTA and not to the local unit (TOAST PTA)</t>
  </si>
  <si>
    <t xml:space="preserve">MST Night </t>
  </si>
  <si>
    <t>Kenneth Skinner</t>
  </si>
  <si>
    <t>% of members paid</t>
  </si>
  <si>
    <t>% of Year to date Revenue</t>
  </si>
  <si>
    <t>% of year to date expenses</t>
  </si>
  <si>
    <t>Box tops</t>
  </si>
  <si>
    <t>Emergency Reserve Fund (*TARGET 1/2 Year Funds)</t>
  </si>
  <si>
    <t>PTA Administration</t>
  </si>
  <si>
    <t>Jimmy Vann</t>
  </si>
  <si>
    <t>Colleen Charlton</t>
  </si>
  <si>
    <t>Susan Googins</t>
  </si>
  <si>
    <t>Margaret Greenwood</t>
  </si>
  <si>
    <t>Jhenss Rivera</t>
  </si>
  <si>
    <t>305 744 6748</t>
  </si>
  <si>
    <t>jhenss@gmail.com</t>
  </si>
  <si>
    <t>Joanne Maguire</t>
  </si>
  <si>
    <t>Charmaine Thomas</t>
  </si>
  <si>
    <t>Hilary Showers</t>
  </si>
  <si>
    <t>Donation</t>
  </si>
  <si>
    <t>Amount</t>
  </si>
  <si>
    <t>From</t>
  </si>
  <si>
    <t>Receipt book</t>
  </si>
  <si>
    <t>materials</t>
  </si>
  <si>
    <t>Emily Leckman Westin</t>
  </si>
  <si>
    <t>paper plates</t>
  </si>
  <si>
    <t>popcorn supplies</t>
  </si>
  <si>
    <t>food</t>
  </si>
  <si>
    <t xml:space="preserve">Demetra Vann </t>
  </si>
  <si>
    <t>Lego League</t>
  </si>
  <si>
    <t>Maran Person</t>
  </si>
  <si>
    <t>mperson@albany.k12.ny.us</t>
  </si>
  <si>
    <t>Tina Cascone</t>
  </si>
  <si>
    <t>tinamcascone@gmail.com</t>
  </si>
  <si>
    <t>staff</t>
  </si>
  <si>
    <t>Column Labels</t>
  </si>
  <si>
    <t>Outdoor Learning Center</t>
  </si>
  <si>
    <t>Shelette Pleat</t>
  </si>
  <si>
    <t>Elaine Searl</t>
  </si>
  <si>
    <t>Sports/cheer</t>
  </si>
  <si>
    <t>Student Council</t>
  </si>
  <si>
    <t>Concert</t>
  </si>
  <si>
    <t>Income</t>
  </si>
  <si>
    <t>Reserve Funds</t>
  </si>
  <si>
    <t>Proposed</t>
  </si>
  <si>
    <t>Actual</t>
  </si>
  <si>
    <t>Expense</t>
  </si>
  <si>
    <t>Staff Allotment</t>
  </si>
  <si>
    <t>After School Activity Support</t>
  </si>
  <si>
    <t>ken skinner</t>
  </si>
  <si>
    <t>489 5311</t>
  </si>
  <si>
    <t>429 5440</t>
  </si>
  <si>
    <t>kennyskin@earthlink.net</t>
  </si>
  <si>
    <t>Field Trip Support</t>
  </si>
  <si>
    <t>Agendas</t>
  </si>
  <si>
    <t>SY 2015-2016</t>
  </si>
  <si>
    <t>Kindergarten Moving Up</t>
  </si>
  <si>
    <t>Peace Celebration</t>
  </si>
  <si>
    <t>Readathon Winners</t>
  </si>
  <si>
    <t>16-17</t>
  </si>
  <si>
    <t>SY 2016-2017</t>
  </si>
  <si>
    <t>Yearbook/Pictures</t>
  </si>
  <si>
    <t>Turkey Shoort</t>
  </si>
  <si>
    <t>6th Grade Moving Up</t>
  </si>
  <si>
    <t>Yearbook</t>
  </si>
  <si>
    <t>SY 2017-2018</t>
  </si>
  <si>
    <t>Mini Grants (fieldtrips&amp;staffsupport)</t>
  </si>
  <si>
    <t>Teacher and Staff Allotments (moved to minigrants)</t>
  </si>
  <si>
    <t>preK Moving Up</t>
  </si>
  <si>
    <t>After School Activities*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</si>
</sst>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0_);\(0.00\)"/>
    <numFmt numFmtId="165" formatCode="_([$$-409]* #,##0.00_);_([$$-409]* \(#,##0.00\);_([$$-409]* &quot;-&quot;??_);_(@_)"/>
    <numFmt numFmtId="166" formatCode="0.0%"/>
  </numFmts>
  <fonts count="14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  <xf numFmtId="0" fontId="10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/>
    <xf numFmtId="0" fontId="6" fillId="0" borderId="0" xfId="5" applyAlignment="1">
      <alignment horizontal="left"/>
    </xf>
    <xf numFmtId="0" fontId="2" fillId="0" borderId="0" xfId="2" applyAlignment="1"/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top" indent="1"/>
    </xf>
    <xf numFmtId="39" fontId="0" fillId="0" borderId="0" xfId="0" applyNumberFormat="1" applyAlignment="1">
      <alignment vertical="center"/>
    </xf>
    <xf numFmtId="39" fontId="0" fillId="0" borderId="0" xfId="1" applyNumberFormat="1" applyFont="1" applyAlignment="1">
      <alignment horizontal="right" vertical="center" indent="1"/>
    </xf>
    <xf numFmtId="7" fontId="0" fillId="0" borderId="0" xfId="0" applyNumberFormat="1" applyAlignment="1">
      <alignment vertical="center"/>
    </xf>
    <xf numFmtId="7" fontId="0" fillId="0" borderId="0" xfId="0" applyNumberFormat="1" applyAlignment="1">
      <alignment horizontal="right" vertical="center" indent="1"/>
    </xf>
    <xf numFmtId="0" fontId="4" fillId="0" borderId="0" xfId="4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horizontal="right" vertical="center" indent="1"/>
    </xf>
    <xf numFmtId="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3" fillId="0" borderId="0" xfId="6" applyFill="1">
      <alignment horizontal="right"/>
    </xf>
    <xf numFmtId="0" fontId="7" fillId="0" borderId="0" xfId="0" applyFont="1" applyFill="1" applyBorder="1" applyAlignment="1">
      <alignment horizontal="right" vertical="top"/>
    </xf>
    <xf numFmtId="0" fontId="7" fillId="0" borderId="0" xfId="0" quotePrefix="1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top" indent="1"/>
    </xf>
    <xf numFmtId="0" fontId="0" fillId="0" borderId="0" xfId="0" applyFill="1"/>
    <xf numFmtId="0" fontId="8" fillId="0" borderId="0" xfId="0" applyFont="1" applyFill="1" applyBorder="1" applyAlignment="1">
      <alignment horizontal="left" inden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right" vertical="center" indent="1"/>
    </xf>
    <xf numFmtId="165" fontId="0" fillId="0" borderId="0" xfId="0" applyNumberFormat="1" applyFont="1" applyFill="1" applyBorder="1" applyAlignment="1">
      <alignment horizontal="right" vertical="top"/>
    </xf>
    <xf numFmtId="165" fontId="0" fillId="0" borderId="0" xfId="0" quotePrefix="1" applyNumberFormat="1" applyFont="1" applyFill="1" applyBorder="1" applyAlignment="1">
      <alignment horizontal="right" vertical="top"/>
    </xf>
    <xf numFmtId="165" fontId="0" fillId="0" borderId="0" xfId="0" applyNumberFormat="1" applyFont="1" applyFill="1" applyBorder="1" applyAlignment="1">
      <alignment horizontal="right" vertical="center"/>
    </xf>
    <xf numFmtId="165" fontId="0" fillId="0" borderId="0" xfId="1" quotePrefix="1" applyNumberFormat="1" applyFont="1" applyFill="1" applyBorder="1" applyAlignment="1">
      <alignment horizontal="right" vertical="center"/>
    </xf>
    <xf numFmtId="7" fontId="9" fillId="0" borderId="0" xfId="0" applyNumberFormat="1" applyFont="1" applyFill="1" applyBorder="1" applyAlignment="1">
      <alignment horizontal="right" vertical="center" inden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0" fillId="0" borderId="0" xfId="7"/>
    <xf numFmtId="0" fontId="11" fillId="0" borderId="0" xfId="7" applyFont="1"/>
    <xf numFmtId="0" fontId="9" fillId="0" borderId="0" xfId="0" applyFont="1" applyFill="1" applyBorder="1" applyAlignment="1">
      <alignment horizontal="left" vertical="center" indent="1"/>
    </xf>
    <xf numFmtId="7" fontId="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 indent="1"/>
    </xf>
    <xf numFmtId="39" fontId="0" fillId="0" borderId="0" xfId="0" applyNumberFormat="1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ill="1"/>
    <xf numFmtId="0" fontId="0" fillId="0" borderId="0" xfId="0" applyFont="1" applyFill="1" applyBorder="1" applyAlignment="1">
      <alignment horizontal="left" vertical="center"/>
    </xf>
    <xf numFmtId="44" fontId="0" fillId="0" borderId="0" xfId="8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44" fontId="0" fillId="0" borderId="0" xfId="0" applyNumberFormat="1" applyFont="1" applyFill="1" applyBorder="1" applyAlignment="1">
      <alignment horizontal="left" vertical="center"/>
    </xf>
    <xf numFmtId="166" fontId="0" fillId="0" borderId="0" xfId="1" applyNumberFormat="1" applyFont="1"/>
    <xf numFmtId="0" fontId="0" fillId="0" borderId="0" xfId="0" applyFont="1"/>
    <xf numFmtId="9" fontId="0" fillId="0" borderId="0" xfId="1" applyFont="1"/>
    <xf numFmtId="44" fontId="0" fillId="0" borderId="0" xfId="8" applyFont="1"/>
    <xf numFmtId="0" fontId="0" fillId="0" borderId="0" xfId="0" applyFill="1"/>
    <xf numFmtId="0" fontId="0" fillId="0" borderId="0" xfId="0" applyFont="1" applyFill="1" applyBorder="1" applyAlignment="1">
      <alignment horizontal="left" vertical="center"/>
    </xf>
    <xf numFmtId="7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ill="1"/>
    <xf numFmtId="0" fontId="0" fillId="0" borderId="0" xfId="0" applyFont="1" applyFill="1" applyBorder="1" applyAlignment="1">
      <alignment horizontal="left" vertical="center"/>
    </xf>
    <xf numFmtId="165" fontId="0" fillId="0" borderId="0" xfId="0" applyNumberFormat="1" applyAlignment="1">
      <alignment vertical="center"/>
    </xf>
    <xf numFmtId="0" fontId="0" fillId="0" borderId="0" xfId="0" applyFill="1"/>
    <xf numFmtId="0" fontId="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indent="1"/>
    </xf>
    <xf numFmtId="7" fontId="13" fillId="0" borderId="0" xfId="0" applyNumberFormat="1" applyFont="1" applyFill="1" applyBorder="1" applyAlignment="1">
      <alignment vertical="center"/>
    </xf>
    <xf numFmtId="7" fontId="13" fillId="0" borderId="0" xfId="0" applyNumberFormat="1" applyFont="1" applyFill="1" applyBorder="1" applyAlignment="1">
      <alignment horizontal="right" vertical="center" indent="1"/>
    </xf>
    <xf numFmtId="39" fontId="0" fillId="0" borderId="0" xfId="1" quotePrefix="1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ont="1" applyFill="1" applyBorder="1" applyAlignment="1">
      <alignment horizontal="left" vertical="center"/>
    </xf>
  </cellXfs>
  <cellStyles count="9">
    <cellStyle name="Currency" xfId="8" builtinId="4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7" builtinId="8"/>
    <cellStyle name="Normal" xfId="0" builtinId="0" customBuiltin="1"/>
    <cellStyle name="Percent" xfId="1" builtinId="5"/>
    <cellStyle name="Title" xfId="2" builtinId="15" customBuiltin="1"/>
  </cellStyles>
  <dxfs count="135"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65" formatCode="_([$$-409]* #,##0.00_);_([$$-409]* \(#,##0.00\);_([$$-409]* &quot;-&quot;??_);_(@_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3"/>
      </font>
      <numFmt numFmtId="7" formatCode="#,##0.00_);\(#,##0.00\)"/>
      <alignment horizontal="right" vertical="center" textRotation="0" wrapText="0" indent="1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auto="1"/>
        </patternFill>
      </fill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64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font>
        <color theme="3"/>
      </font>
      <numFmt numFmtId="7" formatCode="#,##0.00_);\(#,##0.00\)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65" formatCode="_([$$-409]* #,##0.00_);_([$$-409]* \(#,##0.00\);_([$$-409]* &quot;-&quot;??_);_(@_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font>
        <color theme="3"/>
      </font>
      <numFmt numFmtId="7" formatCode="#,##0.00_);\(#,##0.00\)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font>
        <color theme="3"/>
      </font>
      <numFmt numFmtId="7" formatCode="#,##0.00_);\(#,##0.00\)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numFmt numFmtId="11" formatCode="&quot;$&quot;#,##0.00_);\(&quot;$&quot;#,##0.00\)"/>
      <alignment horizontal="general" vertical="center" textRotation="0" wrapText="0" indent="0" justifyLastLine="0" shrinkToFit="0" readingOrder="0"/>
    </dxf>
    <dxf>
      <numFmt numFmtId="7" formatCode="#,##0.00_);\(#,##0.00\)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4" formatCode="0.00_);\(0.00\)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134"/>
      <tableStyleElement type="headerRow" dxfId="133"/>
      <tableStyleElement type="totalRow" dxfId="132"/>
      <tableStyleElement type="firstColumn" dxfId="131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'PTA 2013-2014 Budget'!$B$10</c:f>
          <c:strCache>
            <c:ptCount val="1"/>
            <c:pt idx="0">
              <c:v>REVENUE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'PTA 2013-2014 Budget'!$C$9:$C$10</c:f>
              <c:strCache>
                <c:ptCount val="2"/>
                <c:pt idx="0">
                  <c:v>SY 2012-2013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2013-2014 Budget'!$C$20</c:f>
              <c:numCache>
                <c:formatCode>"$"#,##0.00_);\("$"#,##0.00\)</c:formatCode>
                <c:ptCount val="1"/>
                <c:pt idx="0">
                  <c:v>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0-4E68-9452-C592BEC99330}"/>
            </c:ext>
          </c:extLst>
        </c:ser>
        <c:ser>
          <c:idx val="1"/>
          <c:order val="1"/>
          <c:tx>
            <c:strRef>
              <c:f>'PTA 2013-2014 Budget'!$D$9:$D$10</c:f>
              <c:strCache>
                <c:ptCount val="2"/>
                <c:pt idx="0">
                  <c:v>SY 2013-2014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2013-2014 Budget'!$D$20</c:f>
              <c:numCache>
                <c:formatCode>"$"#,##0.00_);\("$"#,##0.00\)</c:formatCode>
                <c:ptCount val="1"/>
                <c:pt idx="0">
                  <c:v>12400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0-4E68-9452-C592BEC99330}"/>
            </c:ext>
          </c:extLst>
        </c:ser>
        <c:ser>
          <c:idx val="2"/>
          <c:order val="2"/>
          <c:tx>
            <c:strRef>
              <c:f>'PTA 2013-2014 Budget'!$E$9:$E$10</c:f>
              <c:strCache>
                <c:ptCount val="2"/>
                <c:pt idx="0">
                  <c:v>SY 2013-2014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2013-2014 Budget'!$E$20</c:f>
              <c:numCache>
                <c:formatCode>"$"#,##0.00_);\("$"#,##0.00\)</c:formatCode>
                <c:ptCount val="1"/>
                <c:pt idx="0">
                  <c:v>6231.4999999999982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30-4E68-9452-C592BEC99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29544624"/>
        <c:axId val="129545408"/>
      </c:barChart>
      <c:catAx>
        <c:axId val="129544624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29545408"/>
        <c:crosses val="autoZero"/>
        <c:auto val="1"/>
        <c:lblAlgn val="ctr"/>
        <c:lblOffset val="100"/>
        <c:noMultiLvlLbl val="0"/>
      </c:catAx>
      <c:valAx>
        <c:axId val="12954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4462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Sheet6!$B$11</c:f>
              <c:strCache>
                <c:ptCount val="1"/>
                <c:pt idx="0">
                  <c:v>Actual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A0-4CE8-80D5-621E420D96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A0-4CE8-80D5-621E420D96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A0-4CE8-80D5-621E420D96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9A0-4CE8-80D5-621E420D96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9A0-4CE8-80D5-621E420D96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9A0-4CE8-80D5-621E420D96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9A0-4CE8-80D5-621E420D96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Sheet6!$A$12:$A$18</c:f>
              <c:strCache>
                <c:ptCount val="7"/>
                <c:pt idx="0">
                  <c:v>Membership</c:v>
                </c:pt>
                <c:pt idx="1">
                  <c:v>Fundraising</c:v>
                </c:pt>
                <c:pt idx="2">
                  <c:v>Donations</c:v>
                </c:pt>
                <c:pt idx="3">
                  <c:v>Recycling</c:v>
                </c:pt>
                <c:pt idx="4">
                  <c:v>Grants</c:v>
                </c:pt>
                <c:pt idx="5">
                  <c:v>Reserve Funds</c:v>
                </c:pt>
                <c:pt idx="6">
                  <c:v>Miscellaneous</c:v>
                </c:pt>
              </c:strCache>
            </c:strRef>
          </c:cat>
          <c:val>
            <c:numRef>
              <c:f>Sheet6!$B$12:$B$18</c:f>
              <c:numCache>
                <c:formatCode>_("$"* #,##0.00_);_("$"* \(#,##0.00\);_("$"* "-"??_);_(@_)</c:formatCode>
                <c:ptCount val="7"/>
                <c:pt idx="0">
                  <c:v>460</c:v>
                </c:pt>
                <c:pt idx="1">
                  <c:v>6875.47</c:v>
                </c:pt>
                <c:pt idx="2">
                  <c:v>2172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A0-4CE8-80D5-621E420D9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Sheet6!$B$33</c:f>
              <c:strCache>
                <c:ptCount val="1"/>
                <c:pt idx="0">
                  <c:v>Proposed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F89-4658-91A4-31FAE452CCF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89-4658-91A4-31FAE452CCF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89-4658-91A4-31FAE452CCF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F89-4658-91A4-31FAE452CCF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F89-4658-91A4-31FAE452CCF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F89-4658-91A4-31FAE452CCF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Sheet6!$A$34:$A$39</c:f>
              <c:strCache>
                <c:ptCount val="6"/>
                <c:pt idx="0">
                  <c:v>Staff Allotment</c:v>
                </c:pt>
                <c:pt idx="1">
                  <c:v>Staff Appreciation</c:v>
                </c:pt>
                <c:pt idx="2">
                  <c:v>School Event Support</c:v>
                </c:pt>
                <c:pt idx="3">
                  <c:v>After School Activity Support</c:v>
                </c:pt>
                <c:pt idx="4">
                  <c:v>PTA Events</c:v>
                </c:pt>
                <c:pt idx="5">
                  <c:v>Other</c:v>
                </c:pt>
              </c:strCache>
            </c:strRef>
          </c:cat>
          <c:val>
            <c:numRef>
              <c:f>Sheet6!$B$34:$B$39</c:f>
              <c:numCache>
                <c:formatCode>_("$"* #,##0.00_);_("$"* \(#,##0.00\);_("$"* "-"??_);_(@_)</c:formatCode>
                <c:ptCount val="6"/>
                <c:pt idx="0">
                  <c:v>3710</c:v>
                </c:pt>
                <c:pt idx="1">
                  <c:v>800</c:v>
                </c:pt>
                <c:pt idx="2">
                  <c:v>800</c:v>
                </c:pt>
                <c:pt idx="3">
                  <c:v>2500</c:v>
                </c:pt>
                <c:pt idx="4">
                  <c:v>175</c:v>
                </c:pt>
                <c:pt idx="5">
                  <c:v>1265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F89-4658-91A4-31FAE452C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Sheet6!$B$41</c:f>
              <c:strCache>
                <c:ptCount val="1"/>
                <c:pt idx="0">
                  <c:v>Actual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6F4-45B0-9C0B-86FC47EA5E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6F4-45B0-9C0B-86FC47EA5E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6F4-45B0-9C0B-86FC47EA5E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6F4-45B0-9C0B-86FC47EA5E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6F4-45B0-9C0B-86FC47EA5E4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6F4-45B0-9C0B-86FC47EA5E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Sheet6!$A$42:$A$47</c:f>
              <c:strCache>
                <c:ptCount val="6"/>
                <c:pt idx="0">
                  <c:v>Staff Allotment</c:v>
                </c:pt>
                <c:pt idx="1">
                  <c:v>Staff Appreciation</c:v>
                </c:pt>
                <c:pt idx="2">
                  <c:v>School Event Support</c:v>
                </c:pt>
                <c:pt idx="3">
                  <c:v>After School Activity Support</c:v>
                </c:pt>
                <c:pt idx="4">
                  <c:v>PTA Events</c:v>
                </c:pt>
                <c:pt idx="5">
                  <c:v>Other</c:v>
                </c:pt>
              </c:strCache>
            </c:strRef>
          </c:cat>
          <c:val>
            <c:numRef>
              <c:f>Sheet6!$B$42:$B$47</c:f>
              <c:numCache>
                <c:formatCode>_("$"* #,##0.00_);_("$"* \(#,##0.00\);_("$"* "-"??_);_(@_)</c:formatCode>
                <c:ptCount val="6"/>
                <c:pt idx="0">
                  <c:v>2190.37</c:v>
                </c:pt>
                <c:pt idx="1">
                  <c:v>715.02</c:v>
                </c:pt>
                <c:pt idx="2">
                  <c:v>451.8</c:v>
                </c:pt>
                <c:pt idx="3">
                  <c:v>1809.53</c:v>
                </c:pt>
                <c:pt idx="4">
                  <c:v>21</c:v>
                </c:pt>
                <c:pt idx="5">
                  <c:v>965.07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6F4-45B0-9C0B-86FC47EA5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'PTA 2013-2014 Budget'!$B$30</c:f>
          <c:strCache>
            <c:ptCount val="1"/>
            <c:pt idx="0">
              <c:v>EXPENSES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'PTA 2013-2014 Budget'!$C$29:$C$30</c:f>
              <c:strCache>
                <c:ptCount val="2"/>
                <c:pt idx="0">
                  <c:v>SY 2012-2013</c:v>
                </c:pt>
                <c:pt idx="1">
                  <c:v>PRIOR YEAR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'PTA 2013-2014 Budget'!$C$63</c:f>
              <c:numCache>
                <c:formatCode>"$"#,##0.00_);\("$"#,##0.00\)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5-4E9F-A4D9-B4A70E911CF8}"/>
            </c:ext>
          </c:extLst>
        </c:ser>
        <c:ser>
          <c:idx val="1"/>
          <c:order val="1"/>
          <c:tx>
            <c:strRef>
              <c:f>'PTA 2013-2014 Budget'!$D$29:$D$30</c:f>
              <c:strCache>
                <c:ptCount val="2"/>
                <c:pt idx="0">
                  <c:v>SY 2013-2014</c:v>
                </c:pt>
                <c:pt idx="1">
                  <c:v>PROPOSED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'PTA 2013-2014 Budget'!$D$63</c:f>
              <c:numCache>
                <c:formatCode>"$"#,##0.00_);\("$"#,##0.00\)</c:formatCode>
                <c:ptCount val="1"/>
                <c:pt idx="0">
                  <c:v>7565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F5-4E9F-A4D9-B4A70E911CF8}"/>
            </c:ext>
          </c:extLst>
        </c:ser>
        <c:ser>
          <c:idx val="2"/>
          <c:order val="2"/>
          <c:tx>
            <c:strRef>
              <c:f>'PTA 2013-2014 Budget'!$E$29:$E$30</c:f>
              <c:strCache>
                <c:ptCount val="2"/>
                <c:pt idx="0">
                  <c:v>SY 2013-2014</c:v>
                </c:pt>
                <c:pt idx="1">
                  <c:v>ACTUAL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'PTA 2013-2014 Budget'!$E$63</c:f>
              <c:numCache>
                <c:formatCode>"$"#,##0.00_);\("$"#,##0.00\)</c:formatCode>
                <c:ptCount val="1"/>
                <c:pt idx="0">
                  <c:v>4896.84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BF5-4E9F-A4D9-B4A70E911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74405968"/>
        <c:axId val="174406360"/>
      </c:barChart>
      <c:catAx>
        <c:axId val="174405968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174406360"/>
        <c:crosses val="autoZero"/>
        <c:auto val="1"/>
        <c:lblAlgn val="ctr"/>
        <c:lblOffset val="100"/>
        <c:noMultiLvlLbl val="0"/>
      </c:catAx>
      <c:valAx>
        <c:axId val="174406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0596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sz="1000" b="0" i="0" cap="none" spc="30" baseline="0">
                      <a:solidFill>
                        <a:schemeClr val="tx2"/>
                      </a:solidFill>
                    </a:rPr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'PTA 2014-2015 Budget'!$B$10</c:f>
          <c:strCache>
            <c:ptCount val="1"/>
            <c:pt idx="0">
              <c:v>REVENUE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'PTA 2014-2015 Budget'!$C$9:$C$10</c:f>
              <c:strCache>
                <c:ptCount val="2"/>
                <c:pt idx="0">
                  <c:v>SY 2013-2014</c:v>
                </c:pt>
                <c:pt idx="1">
                  <c:v>PRIOR YEAR</c:v>
                </c:pt>
              </c:strCache>
            </c:strRef>
          </c:tx>
          <c:spPr>
            <a:pattFill prst="narVert">
              <a:fgClr>
                <a:schemeClr val="accent1">
                  <a:tint val="65000"/>
                </a:schemeClr>
              </a:fgClr>
              <a:bgClr>
                <a:schemeClr val="accent1">
                  <a:tint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tint val="65000"/>
                </a:schemeClr>
              </a:innerShdw>
            </a:effectLst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2014-2015 Budget'!$C$20</c:f>
              <c:numCache>
                <c:formatCode>"$"#,##0.00_);\("$"#,##0.00\)</c:formatCode>
                <c:ptCount val="1"/>
                <c:pt idx="0">
                  <c:v>5981.9999999999982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19-4107-B92A-CFE41B5AD800}"/>
            </c:ext>
          </c:extLst>
        </c:ser>
        <c:ser>
          <c:idx val="1"/>
          <c:order val="1"/>
          <c:tx>
            <c:strRef>
              <c:f>'PTA 2014-2015 Budget'!$D$9:$D$10</c:f>
              <c:strCache>
                <c:ptCount val="2"/>
                <c:pt idx="0">
                  <c:v>SY 2014-2015</c:v>
                </c:pt>
                <c:pt idx="1">
                  <c:v>PROPOSED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2014-2015 Budget'!$D$20</c:f>
              <c:numCache>
                <c:formatCode>"$"#,##0.00_);\("$"#,##0.00\)</c:formatCode>
                <c:ptCount val="1"/>
                <c:pt idx="0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19-4107-B92A-CFE41B5AD800}"/>
            </c:ext>
          </c:extLst>
        </c:ser>
        <c:ser>
          <c:idx val="2"/>
          <c:order val="2"/>
          <c:tx>
            <c:strRef>
              <c:f>'PTA 2014-2015 Budget'!$E$9:$E$10</c:f>
              <c:strCache>
                <c:ptCount val="2"/>
                <c:pt idx="0">
                  <c:v>SY 2014-2015</c:v>
                </c:pt>
                <c:pt idx="1">
                  <c:v>ACTUAL</c:v>
                </c:pt>
              </c:strCache>
            </c:strRef>
          </c:tx>
          <c:spPr>
            <a:pattFill prst="narVert">
              <a:fgClr>
                <a:schemeClr val="accent1">
                  <a:shade val="65000"/>
                </a:schemeClr>
              </a:fgClr>
              <a:bgClr>
                <a:schemeClr val="accent1">
                  <a:shade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shade val="65000"/>
                </a:schemeClr>
              </a:innerShdw>
            </a:effectLst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2014-2015 Budget'!$E$20</c:f>
              <c:numCache>
                <c:formatCode>"$"#,##0.00_);\("$"#,##0.00\)</c:formatCode>
                <c:ptCount val="1"/>
                <c:pt idx="0">
                  <c:v>11513.87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9-4107-B92A-CFE41B5AD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74407144"/>
        <c:axId val="174407536"/>
      </c:barChart>
      <c:catAx>
        <c:axId val="17440714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74407536"/>
        <c:crosses val="autoZero"/>
        <c:auto val="1"/>
        <c:lblAlgn val="ctr"/>
        <c:lblOffset val="100"/>
        <c:noMultiLvlLbl val="0"/>
      </c:catAx>
      <c:valAx>
        <c:axId val="174407536"/>
        <c:scaling>
          <c:orientation val="minMax"/>
        </c:scaling>
        <c:delete val="0"/>
        <c:axPos val="b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0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'PTA 2014-2015 Budget'!$B$33</c:f>
          <c:strCache>
            <c:ptCount val="1"/>
            <c:pt idx="0">
              <c:v>EXPENSES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'PTA 2014-2015 Budget'!$C$32:$C$33</c:f>
              <c:strCache>
                <c:ptCount val="2"/>
                <c:pt idx="0">
                  <c:v>SY 2013-2014</c:v>
                </c:pt>
                <c:pt idx="1">
                  <c:v>PRIOR YEAR</c:v>
                </c:pt>
              </c:strCache>
            </c:strRef>
          </c:tx>
          <c:spPr>
            <a:pattFill prst="narVert">
              <a:fgClr>
                <a:schemeClr val="accent1">
                  <a:tint val="65000"/>
                </a:schemeClr>
              </a:fgClr>
              <a:bgClr>
                <a:schemeClr val="accent1">
                  <a:tint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tint val="65000"/>
                </a:schemeClr>
              </a:innerShdw>
            </a:effectLst>
          </c:spPr>
          <c:invertIfNegative val="0"/>
          <c:val>
            <c:numRef>
              <c:f>'PTA 2014-2015 Budget'!$C$73</c:f>
              <c:numCache>
                <c:formatCode>"$"#,##0.00_);\("$"#,##0.00\)</c:formatCode>
                <c:ptCount val="1"/>
                <c:pt idx="0">
                  <c:v>5648.78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17-4D30-A9BE-40E7BA9B709F}"/>
            </c:ext>
          </c:extLst>
        </c:ser>
        <c:ser>
          <c:idx val="1"/>
          <c:order val="1"/>
          <c:tx>
            <c:strRef>
              <c:f>'PTA 2014-2015 Budget'!$D$32:$D$33</c:f>
              <c:strCache>
                <c:ptCount val="2"/>
                <c:pt idx="0">
                  <c:v>SY 2014-2015</c:v>
                </c:pt>
                <c:pt idx="1">
                  <c:v>PROPOSED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'PTA 2014-2015 Budget'!$D$73</c:f>
              <c:numCache>
                <c:formatCode>"$"#,##0.00_);\("$"#,##0.00\)</c:formatCode>
                <c:ptCount val="1"/>
                <c:pt idx="0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17-4D30-A9BE-40E7BA9B709F}"/>
            </c:ext>
          </c:extLst>
        </c:ser>
        <c:ser>
          <c:idx val="2"/>
          <c:order val="2"/>
          <c:tx>
            <c:strRef>
              <c:f>'PTA 2014-2015 Budget'!$E$32:$E$33</c:f>
              <c:strCache>
                <c:ptCount val="2"/>
                <c:pt idx="0">
                  <c:v>SY 2014-2015</c:v>
                </c:pt>
                <c:pt idx="1">
                  <c:v>ACTUAL</c:v>
                </c:pt>
              </c:strCache>
            </c:strRef>
          </c:tx>
          <c:spPr>
            <a:pattFill prst="narVert">
              <a:fgClr>
                <a:schemeClr val="accent1">
                  <a:shade val="65000"/>
                </a:schemeClr>
              </a:fgClr>
              <a:bgClr>
                <a:schemeClr val="accent1">
                  <a:shade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shade val="65000"/>
                </a:schemeClr>
              </a:innerShdw>
            </a:effectLst>
          </c:spPr>
          <c:invertIfNegative val="0"/>
          <c:val>
            <c:numRef>
              <c:f>'PTA 2014-2015 Budget'!$E$73</c:f>
              <c:numCache>
                <c:formatCode>"$"#,##0.00_);\("$"#,##0.00\)</c:formatCode>
                <c:ptCount val="1"/>
                <c:pt idx="0">
                  <c:v>10502.119999999999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17-4D30-A9BE-40E7BA9B7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174408320"/>
        <c:axId val="174408712"/>
      </c:barChart>
      <c:catAx>
        <c:axId val="174408320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74408712"/>
        <c:crosses val="autoZero"/>
        <c:auto val="1"/>
        <c:lblAlgn val="ctr"/>
        <c:lblOffset val="100"/>
        <c:noMultiLvlLbl val="0"/>
      </c:catAx>
      <c:valAx>
        <c:axId val="174408712"/>
        <c:scaling>
          <c:orientation val="minMax"/>
        </c:scaling>
        <c:delete val="0"/>
        <c:axPos val="b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44083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'PTA 2016-2017 Budget'!$B$10</c:f>
          <c:strCache>
            <c:ptCount val="1"/>
            <c:pt idx="0">
              <c:v>REVENUE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'PTA 2016-2017 Budget'!$C$9:$C$10</c:f>
              <c:strCache>
                <c:ptCount val="2"/>
                <c:pt idx="0">
                  <c:v>SY 2015-2016</c:v>
                </c:pt>
                <c:pt idx="1">
                  <c:v>PRIOR YEAR</c:v>
                </c:pt>
              </c:strCache>
            </c:strRef>
          </c:tx>
          <c:spPr>
            <a:pattFill prst="narVert">
              <a:fgClr>
                <a:schemeClr val="accent1">
                  <a:tint val="65000"/>
                </a:schemeClr>
              </a:fgClr>
              <a:bgClr>
                <a:schemeClr val="accent1">
                  <a:tint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tint val="65000"/>
                </a:schemeClr>
              </a:innerShdw>
            </a:effectLst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2016-2017 Budget'!$C$20</c:f>
              <c:numCache>
                <c:formatCode>"$"#,##0.00_);\("$"#,##0.00\)</c:formatCode>
                <c:ptCount val="1"/>
                <c:pt idx="0">
                  <c:v>10278.67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5B-45C5-94A1-2047FF5E748D}"/>
            </c:ext>
          </c:extLst>
        </c:ser>
        <c:ser>
          <c:idx val="1"/>
          <c:order val="1"/>
          <c:tx>
            <c:strRef>
              <c:f>'PTA 2016-2017 Budget'!$D$9:$D$10</c:f>
              <c:strCache>
                <c:ptCount val="2"/>
                <c:pt idx="0">
                  <c:v>SY 2016-2017</c:v>
                </c:pt>
                <c:pt idx="1">
                  <c:v>PROPOSED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2016-2017 Budget'!$D$20</c:f>
              <c:numCache>
                <c:formatCode>"$"#,##0.00_);\("$"#,##0.00\)</c:formatCode>
                <c:ptCount val="1"/>
                <c:pt idx="0">
                  <c:v>12764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5B-45C5-94A1-2047FF5E748D}"/>
            </c:ext>
          </c:extLst>
        </c:ser>
        <c:ser>
          <c:idx val="2"/>
          <c:order val="2"/>
          <c:tx>
            <c:strRef>
              <c:f>'PTA 2016-2017 Budget'!$E$9:$E$10</c:f>
              <c:strCache>
                <c:ptCount val="2"/>
                <c:pt idx="0">
                  <c:v>SY 2016-2017</c:v>
                </c:pt>
                <c:pt idx="1">
                  <c:v>ACTUAL</c:v>
                </c:pt>
              </c:strCache>
            </c:strRef>
          </c:tx>
          <c:spPr>
            <a:pattFill prst="narVert">
              <a:fgClr>
                <a:schemeClr val="accent1">
                  <a:shade val="65000"/>
                </a:schemeClr>
              </a:fgClr>
              <a:bgClr>
                <a:schemeClr val="accent1">
                  <a:shade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shade val="65000"/>
                </a:schemeClr>
              </a:innerShdw>
            </a:effectLst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2016-2017 Budget'!$E$20</c:f>
              <c:numCache>
                <c:formatCode>"$"#,##0.00_);\("$"#,##0.00\)</c:formatCode>
                <c:ptCount val="1"/>
                <c:pt idx="0">
                  <c:v>14281.75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5B-45C5-94A1-2047FF5E74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293859536"/>
        <c:axId val="293859928"/>
      </c:barChart>
      <c:catAx>
        <c:axId val="293859536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93859928"/>
        <c:crosses val="autoZero"/>
        <c:auto val="1"/>
        <c:lblAlgn val="ctr"/>
        <c:lblOffset val="100"/>
        <c:noMultiLvlLbl val="0"/>
      </c:catAx>
      <c:valAx>
        <c:axId val="293859928"/>
        <c:scaling>
          <c:orientation val="minMax"/>
        </c:scaling>
        <c:delete val="0"/>
        <c:axPos val="b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8595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'PTA 2016-2017 Budget'!$B$33</c:f>
          <c:strCache>
            <c:ptCount val="1"/>
            <c:pt idx="0">
              <c:v>EXPENSES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'PTA 2016-2017 Budget'!$C$32:$C$33</c:f>
              <c:strCache>
                <c:ptCount val="2"/>
                <c:pt idx="0">
                  <c:v>SY 2015-2016</c:v>
                </c:pt>
                <c:pt idx="1">
                  <c:v>PRIOR YEAR</c:v>
                </c:pt>
              </c:strCache>
            </c:strRef>
          </c:tx>
          <c:spPr>
            <a:pattFill prst="narVert">
              <a:fgClr>
                <a:schemeClr val="accent1">
                  <a:tint val="65000"/>
                </a:schemeClr>
              </a:fgClr>
              <a:bgClr>
                <a:schemeClr val="accent1">
                  <a:tint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tint val="65000"/>
                </a:schemeClr>
              </a:innerShdw>
            </a:effectLst>
          </c:spPr>
          <c:invertIfNegative val="0"/>
          <c:val>
            <c:numRef>
              <c:f>'PTA 2016-2017 Budget'!$C$71</c:f>
              <c:numCache>
                <c:formatCode>"$"#,##0.00_);\("$"#,##0.00\)</c:formatCode>
                <c:ptCount val="1"/>
                <c:pt idx="0">
                  <c:v>8802.4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A2-44F3-94C8-721A80CA1F2F}"/>
            </c:ext>
          </c:extLst>
        </c:ser>
        <c:ser>
          <c:idx val="1"/>
          <c:order val="1"/>
          <c:tx>
            <c:strRef>
              <c:f>'PTA 2016-2017 Budget'!$D$32:$D$33</c:f>
              <c:strCache>
                <c:ptCount val="2"/>
                <c:pt idx="0">
                  <c:v>SY 2016-2017</c:v>
                </c:pt>
                <c:pt idx="1">
                  <c:v>PROPOSED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'PTA 2016-2017 Budget'!$D$71</c:f>
              <c:numCache>
                <c:formatCode>"$"#,##0.00_);\("$"#,##0.00\)</c:formatCode>
                <c:ptCount val="1"/>
                <c:pt idx="0">
                  <c:v>12764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A2-44F3-94C8-721A80CA1F2F}"/>
            </c:ext>
          </c:extLst>
        </c:ser>
        <c:ser>
          <c:idx val="2"/>
          <c:order val="2"/>
          <c:tx>
            <c:strRef>
              <c:f>'PTA 2016-2017 Budget'!$E$32:$E$33</c:f>
              <c:strCache>
                <c:ptCount val="2"/>
                <c:pt idx="0">
                  <c:v>SY 2016-2017</c:v>
                </c:pt>
                <c:pt idx="1">
                  <c:v>ACTUAL</c:v>
                </c:pt>
              </c:strCache>
            </c:strRef>
          </c:tx>
          <c:spPr>
            <a:pattFill prst="narVert">
              <a:fgClr>
                <a:schemeClr val="accent1">
                  <a:shade val="65000"/>
                </a:schemeClr>
              </a:fgClr>
              <a:bgClr>
                <a:schemeClr val="accent1">
                  <a:shade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shade val="65000"/>
                </a:schemeClr>
              </a:innerShdw>
            </a:effectLst>
          </c:spPr>
          <c:invertIfNegative val="0"/>
          <c:val>
            <c:numRef>
              <c:f>'PTA 2016-2017 Budget'!$E$71</c:f>
              <c:numCache>
                <c:formatCode>_([$$-409]* #,##0.00_);_([$$-409]* \(#,##0.00\);_([$$-409]* "-"??_);_(@_)</c:formatCode>
                <c:ptCount val="1"/>
                <c:pt idx="0">
                  <c:v>14281.749999999998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A2-44F3-94C8-721A80CA1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293861104"/>
        <c:axId val="293861496"/>
      </c:barChart>
      <c:catAx>
        <c:axId val="29386110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93861496"/>
        <c:crosses val="autoZero"/>
        <c:auto val="1"/>
        <c:lblAlgn val="ctr"/>
        <c:lblOffset val="100"/>
        <c:noMultiLvlLbl val="0"/>
      </c:catAx>
      <c:valAx>
        <c:axId val="293861496"/>
        <c:scaling>
          <c:orientation val="minMax"/>
        </c:scaling>
        <c:delete val="0"/>
        <c:axPos val="b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8611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'PTA 2017-2018 Budget (P)'!$B$10</c:f>
          <c:strCache>
            <c:ptCount val="1"/>
            <c:pt idx="0">
              <c:v>REVENUE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'PTA 2017-2018 Budget (P)'!$C$9:$C$10</c:f>
              <c:strCache>
                <c:ptCount val="2"/>
                <c:pt idx="0">
                  <c:v>SY 2016-2017</c:v>
                </c:pt>
                <c:pt idx="1">
                  <c:v>PRIOR YEAR</c:v>
                </c:pt>
              </c:strCache>
            </c:strRef>
          </c:tx>
          <c:spPr>
            <a:pattFill prst="narVert">
              <a:fgClr>
                <a:schemeClr val="accent1">
                  <a:tint val="65000"/>
                </a:schemeClr>
              </a:fgClr>
              <a:bgClr>
                <a:schemeClr val="accent1">
                  <a:tint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tint val="65000"/>
                </a:schemeClr>
              </a:innerShdw>
            </a:effectLst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2017-2018 Budget (P)'!$C$20</c:f>
              <c:numCache>
                <c:formatCode>"$"#,##0.00_);\("$"#,##0.00\)</c:formatCode>
                <c:ptCount val="1"/>
                <c:pt idx="0">
                  <c:v>14281.75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5-4083-8A7A-B062072C4E6C}"/>
            </c:ext>
          </c:extLst>
        </c:ser>
        <c:ser>
          <c:idx val="1"/>
          <c:order val="1"/>
          <c:tx>
            <c:strRef>
              <c:f>'PTA 2017-2018 Budget (P)'!$D$9:$D$10</c:f>
              <c:strCache>
                <c:ptCount val="2"/>
                <c:pt idx="0">
                  <c:v>SY 2017-2018</c:v>
                </c:pt>
                <c:pt idx="1">
                  <c:v>PROPOSED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2017-2018 Budget (P)'!$D$20</c:f>
              <c:numCache>
                <c:formatCode>"$"#,##0.00_);\("$"#,##0.00\)</c:formatCode>
                <c:ptCount val="1"/>
                <c:pt idx="0">
                  <c:v>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75-4083-8A7A-B062072C4E6C}"/>
            </c:ext>
          </c:extLst>
        </c:ser>
        <c:ser>
          <c:idx val="2"/>
          <c:order val="2"/>
          <c:tx>
            <c:strRef>
              <c:f>'PTA 2017-2018 Budget (P)'!$E$9:$E$10</c:f>
              <c:strCache>
                <c:ptCount val="2"/>
                <c:pt idx="0">
                  <c:v>SY 2017-2018</c:v>
                </c:pt>
                <c:pt idx="1">
                  <c:v>ACTUAL</c:v>
                </c:pt>
              </c:strCache>
            </c:strRef>
          </c:tx>
          <c:spPr>
            <a:pattFill prst="narVert">
              <a:fgClr>
                <a:schemeClr val="accent1">
                  <a:shade val="65000"/>
                </a:schemeClr>
              </a:fgClr>
              <a:bgClr>
                <a:schemeClr val="accent1">
                  <a:shade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shade val="65000"/>
                </a:schemeClr>
              </a:innerShdw>
            </a:effectLst>
          </c:spPr>
          <c:invertIfNegative val="0"/>
          <c:cat>
            <c:strLit>
              <c:ptCount val="1"/>
              <c:pt idx="0">
                <c:v>Totals</c:v>
              </c:pt>
            </c:strLit>
          </c:cat>
          <c:val>
            <c:numRef>
              <c:f>'PTA 2017-2018 Budget (P)'!$E$20</c:f>
              <c:numCache>
                <c:formatCode>"$"#,##0.00_);\("$"#,##0.00\)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5-4083-8A7A-B062072C4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293859536"/>
        <c:axId val="293859928"/>
      </c:barChart>
      <c:catAx>
        <c:axId val="293859536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93859928"/>
        <c:crosses val="autoZero"/>
        <c:auto val="1"/>
        <c:lblAlgn val="ctr"/>
        <c:lblOffset val="100"/>
        <c:noMultiLvlLbl val="0"/>
      </c:catAx>
      <c:valAx>
        <c:axId val="293859928"/>
        <c:scaling>
          <c:orientation val="minMax"/>
        </c:scaling>
        <c:delete val="0"/>
        <c:axPos val="b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859536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'PTA 2017-2018 Budget (P)'!$B$33</c:f>
          <c:strCache>
            <c:ptCount val="1"/>
            <c:pt idx="0">
              <c:v>EXPENSES</c:v>
            </c:pt>
          </c:strCache>
        </c:strRef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'PTA 2017-2018 Budget (P)'!$C$32:$C$33</c:f>
              <c:strCache>
                <c:ptCount val="2"/>
                <c:pt idx="0">
                  <c:v>SY 2016-2017</c:v>
                </c:pt>
                <c:pt idx="1">
                  <c:v>PRIOR YEAR</c:v>
                </c:pt>
              </c:strCache>
            </c:strRef>
          </c:tx>
          <c:spPr>
            <a:pattFill prst="narVert">
              <a:fgClr>
                <a:schemeClr val="accent1">
                  <a:tint val="65000"/>
                </a:schemeClr>
              </a:fgClr>
              <a:bgClr>
                <a:schemeClr val="accent1">
                  <a:tint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tint val="65000"/>
                </a:schemeClr>
              </a:innerShdw>
            </a:effectLst>
          </c:spPr>
          <c:invertIfNegative val="0"/>
          <c:val>
            <c:numRef>
              <c:f>'PTA 2017-2018 Budget (P)'!$C$72</c:f>
              <c:numCache>
                <c:formatCode>"$"#,##0.00_);\("$"#,##0.00\)</c:formatCode>
                <c:ptCount val="1"/>
                <c:pt idx="0">
                  <c:v>13479.55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1D-45A7-89E6-A3CD9300D6DE}"/>
            </c:ext>
          </c:extLst>
        </c:ser>
        <c:ser>
          <c:idx val="1"/>
          <c:order val="1"/>
          <c:tx>
            <c:strRef>
              <c:f>'PTA 2017-2018 Budget (P)'!$D$32:$D$33</c:f>
              <c:strCache>
                <c:ptCount val="2"/>
                <c:pt idx="0">
                  <c:v>SY 2017-2018</c:v>
                </c:pt>
                <c:pt idx="1">
                  <c:v>PROPOSED</c:v>
                </c:pt>
              </c:strCache>
            </c:strRef>
          </c:tx>
          <c:spPr>
            <a:pattFill prst="narVert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val>
            <c:numRef>
              <c:f>'PTA 2017-2018 Budget (P)'!$D$72</c:f>
              <c:numCache>
                <c:formatCode>"$"#,##0.00_);\("$"#,##0.00\)</c:formatCode>
                <c:ptCount val="1"/>
                <c:pt idx="0">
                  <c:v>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1D-45A7-89E6-A3CD9300D6DE}"/>
            </c:ext>
          </c:extLst>
        </c:ser>
        <c:ser>
          <c:idx val="2"/>
          <c:order val="2"/>
          <c:tx>
            <c:strRef>
              <c:f>'PTA 2017-2018 Budget (P)'!$E$32:$E$33</c:f>
              <c:strCache>
                <c:ptCount val="2"/>
                <c:pt idx="0">
                  <c:v>SY 2017-2018</c:v>
                </c:pt>
                <c:pt idx="1">
                  <c:v>ACTUAL</c:v>
                </c:pt>
              </c:strCache>
            </c:strRef>
          </c:tx>
          <c:spPr>
            <a:pattFill prst="narVert">
              <a:fgClr>
                <a:schemeClr val="accent1">
                  <a:shade val="65000"/>
                </a:schemeClr>
              </a:fgClr>
              <a:bgClr>
                <a:schemeClr val="accent1">
                  <a:shade val="65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shade val="65000"/>
                </a:schemeClr>
              </a:innerShdw>
            </a:effectLst>
          </c:spPr>
          <c:invertIfNegative val="0"/>
          <c:val>
            <c:numRef>
              <c:f>'PTA 2017-2018 Budget (P)'!$E$72</c:f>
              <c:numCache>
                <c:formatCode>_([$$-409]* #,##0.00_);_([$$-409]* \(#,##0.00\);_([$$-409]* "-"??_);_(@_)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1D-45A7-89E6-A3CD9300D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7"/>
        <c:overlap val="-48"/>
        <c:axId val="293861104"/>
        <c:axId val="293861496"/>
      </c:barChart>
      <c:catAx>
        <c:axId val="29386110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93861496"/>
        <c:crosses val="autoZero"/>
        <c:auto val="1"/>
        <c:lblAlgn val="ctr"/>
        <c:lblOffset val="100"/>
        <c:noMultiLvlLbl val="0"/>
      </c:catAx>
      <c:valAx>
        <c:axId val="293861496"/>
        <c:scaling>
          <c:orientation val="minMax"/>
        </c:scaling>
        <c:delete val="0"/>
        <c:axPos val="b"/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86110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In Thousands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Sheet6!$B$1</c:f>
              <c:strCache>
                <c:ptCount val="1"/>
                <c:pt idx="0">
                  <c:v>Proposed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ADB-4D83-982B-B46C35153A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ADB-4D83-982B-B46C35153A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ADB-4D83-982B-B46C35153A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ADB-4D83-982B-B46C35153AC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ADB-4D83-982B-B46C35153AC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ADB-4D83-982B-B46C35153AC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ADB-4D83-982B-B46C35153A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Sheet6!$A$2:$A$8</c:f>
              <c:strCache>
                <c:ptCount val="7"/>
                <c:pt idx="0">
                  <c:v>Membership</c:v>
                </c:pt>
                <c:pt idx="1">
                  <c:v>Fundraising</c:v>
                </c:pt>
                <c:pt idx="2">
                  <c:v>Donations</c:v>
                </c:pt>
                <c:pt idx="3">
                  <c:v>Recycling</c:v>
                </c:pt>
                <c:pt idx="4">
                  <c:v>Grants</c:v>
                </c:pt>
                <c:pt idx="5">
                  <c:v>Reserve Funds</c:v>
                </c:pt>
                <c:pt idx="6">
                  <c:v>Miscellaneous</c:v>
                </c:pt>
              </c:strCache>
            </c:strRef>
          </c:cat>
          <c:val>
            <c:numRef>
              <c:f>Sheet6!$B$2:$B$8</c:f>
              <c:numCache>
                <c:formatCode>_("$"* #,##0.00_);_("$"* \(#,##0.00\);_("$"* "-"??_);_(@_)</c:formatCode>
                <c:ptCount val="7"/>
                <c:pt idx="0">
                  <c:v>400</c:v>
                </c:pt>
                <c:pt idx="1">
                  <c:v>6000</c:v>
                </c:pt>
                <c:pt idx="2">
                  <c:v>1500</c:v>
                </c:pt>
                <c:pt idx="3">
                  <c:v>100</c:v>
                </c:pt>
                <c:pt idx="4">
                  <c:v>0</c:v>
                </c:pt>
                <c:pt idx="5">
                  <c:v>1500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ADB-4D83-982B-B46C35153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Vert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2" name="Revenue" descr="Bar chart comparing Prior, Proposed and Actual revenue for the fiscal year." title="Revenu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22</xdr:row>
      <xdr:rowOff>38100</xdr:rowOff>
    </xdr:from>
    <xdr:to>
      <xdr:col>7</xdr:col>
      <xdr:colOff>95250</xdr:colOff>
      <xdr:row>28</xdr:row>
      <xdr:rowOff>19050</xdr:rowOff>
    </xdr:to>
    <xdr:graphicFrame macro="">
      <xdr:nvGraphicFramePr>
        <xdr:cNvPr id="3" name="Revenue" descr="Bar chart comparing Prior, Proposed and Actual revenue for the fiscal year." title="Revenu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2" name="Revenue" descr="Bar chart comparing Prior, Proposed and Actual revenue for the fiscal year." title="Revenu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25</xdr:row>
      <xdr:rowOff>38100</xdr:rowOff>
    </xdr:from>
    <xdr:to>
      <xdr:col>7</xdr:col>
      <xdr:colOff>95250</xdr:colOff>
      <xdr:row>31</xdr:row>
      <xdr:rowOff>19050</xdr:rowOff>
    </xdr:to>
    <xdr:graphicFrame macro="">
      <xdr:nvGraphicFramePr>
        <xdr:cNvPr id="3" name="Revenue" descr="Bar chart comparing Prior, Proposed and Actual revenue for the fiscal year." title="Revenu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2" name="Revenue" descr="Bar chart comparing Prior, Proposed and Actual revenue for the fiscal year." title="Revenu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25</xdr:row>
      <xdr:rowOff>38100</xdr:rowOff>
    </xdr:from>
    <xdr:to>
      <xdr:col>7</xdr:col>
      <xdr:colOff>95250</xdr:colOff>
      <xdr:row>31</xdr:row>
      <xdr:rowOff>19050</xdr:rowOff>
    </xdr:to>
    <xdr:graphicFrame macro="">
      <xdr:nvGraphicFramePr>
        <xdr:cNvPr id="3" name="Revenue" descr="Bar chart comparing Prior, Proposed and Actual revenue for the fiscal year." title="Revenu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2" name="Revenue" descr="Bar chart comparing Prior, Proposed and Actual revenue for the fiscal year." title="Revenue">
          <a:extLst>
            <a:ext uri="{FF2B5EF4-FFF2-40B4-BE49-F238E27FC236}">
              <a16:creationId xmlns:a16="http://schemas.microsoft.com/office/drawing/2014/main" id="{DA685D47-375E-4C44-AC89-B2B86AE71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25</xdr:row>
      <xdr:rowOff>38100</xdr:rowOff>
    </xdr:from>
    <xdr:to>
      <xdr:col>7</xdr:col>
      <xdr:colOff>95250</xdr:colOff>
      <xdr:row>31</xdr:row>
      <xdr:rowOff>19050</xdr:rowOff>
    </xdr:to>
    <xdr:graphicFrame macro="">
      <xdr:nvGraphicFramePr>
        <xdr:cNvPr id="3" name="Revenue" descr="Bar chart comparing Prior, Proposed and Actual revenue for the fiscal year." title="Revenue">
          <a:extLst>
            <a:ext uri="{FF2B5EF4-FFF2-40B4-BE49-F238E27FC236}">
              <a16:creationId xmlns:a16="http://schemas.microsoft.com/office/drawing/2014/main" id="{693CB0CB-CD27-4568-84F4-299117E05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373380</xdr:colOff>
      <xdr:row>0</xdr:row>
      <xdr:rowOff>0</xdr:rowOff>
    </xdr:from>
    <xdr:to>
      <xdr:col>10</xdr:col>
      <xdr:colOff>68580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365760</xdr:colOff>
      <xdr:row>15</xdr:row>
      <xdr:rowOff>30480</xdr:rowOff>
    </xdr:from>
    <xdr:to>
      <xdr:col>10</xdr:col>
      <xdr:colOff>60960</xdr:colOff>
      <xdr:row>30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1135380</xdr:colOff>
      <xdr:row>21</xdr:row>
      <xdr:rowOff>7620</xdr:rowOff>
    </xdr:from>
    <xdr:to>
      <xdr:col>7</xdr:col>
      <xdr:colOff>495300</xdr:colOff>
      <xdr:row>36</xdr:row>
      <xdr:rowOff>7620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1135380</xdr:colOff>
      <xdr:row>27</xdr:row>
      <xdr:rowOff>7620</xdr:rowOff>
    </xdr:from>
    <xdr:to>
      <xdr:col>7</xdr:col>
      <xdr:colOff>495300</xdr:colOff>
      <xdr:row>42</xdr:row>
      <xdr:rowOff>7620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m\Desktop\PTA%20Budget%202014%20to%202015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evelw\Desktop\TOAST\Budget%202015%20to%202016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evelw\Desktop\TOAST\Budget%202015%20to%202016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evelw\Desktop\TOAST\Budget%202015%20to%202016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886.523285069445" createdVersion="5" refreshedVersion="5" minRefreshableVersion="3" recordCount="41">
  <cacheSource type="worksheet">
    <worksheetSource ref="F1:G42" sheet="Sums 13-14" r:id="rId2"/>
  </cacheSource>
  <cacheFields count="2">
    <cacheField name="amount" numFmtId="0">
      <sharedItems containsSemiMixedTypes="0" containsString="0" containsNumber="1" minValue="8.75" maxValue="2232"/>
    </cacheField>
    <cacheField name="code" numFmtId="0">
      <sharedItems count="28">
        <s v="Payment Portion Fundraiser"/>
        <s v="Babysitting"/>
        <s v="Teacher Allotment"/>
        <s v="Postage"/>
        <s v="MISC"/>
        <s v="School Appreciation Lunch"/>
        <s v="Insur."/>
        <s v="Soap Box Derby"/>
        <s v="ice cream social"/>
        <s v="founders day gift"/>
        <s v="Family Fun Day"/>
        <s v="Grant"/>
        <s v="Recycling"/>
        <s v="museum room?"/>
        <s v="Field Day"/>
        <s v="G" u="1"/>
        <s v="FFD" u="1"/>
        <s v="FD" u="1"/>
        <s v="L" u="1"/>
        <s v="SBD" u="1"/>
        <s v="T" u="1"/>
        <s v="Multiple" u="1"/>
        <s v="F" u="1"/>
        <s v="R" u="1"/>
        <s v="Other- budget mtg food" u="1"/>
        <s v="P" u="1"/>
        <s v="B" u="1"/>
        <s v="Other- winterguard a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1939.637857175927" createdVersion="5" refreshedVersion="5" minRefreshableVersion="3" recordCount="57">
  <cacheSource type="worksheet">
    <worksheetSource ref="A1:F141" sheet="Members 2014-2015" r:id="rId2"/>
  </cacheSource>
  <cacheFields count="6">
    <cacheField name="Name" numFmtId="0">
      <sharedItems containsBlank="1"/>
    </cacheField>
    <cacheField name="Phone" numFmtId="0">
      <sharedItems containsBlank="1" containsMixedTypes="1" containsNumber="1" containsInteger="1" minValue="5308773" maxValue="5308773"/>
    </cacheField>
    <cacheField name="Email" numFmtId="0">
      <sharedItems containsBlank="1"/>
    </cacheField>
    <cacheField name="Member" numFmtId="0">
      <sharedItems containsBlank="1" count="2">
        <s v="Y"/>
        <m/>
      </sharedItems>
    </cacheField>
    <cacheField name="Status" numFmtId="0">
      <sharedItems containsBlank="1" count="3">
        <s v="paid"/>
        <m/>
        <s v="volunteer"/>
      </sharedItems>
    </cacheField>
    <cacheField name="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1939.637857870373" createdVersion="5" refreshedVersion="5" minRefreshableVersion="3" recordCount="39">
  <cacheSource type="worksheet">
    <worksheetSource ref="A1:I40" sheet="Members 2014-2015" r:id="rId2"/>
  </cacheSource>
  <cacheFields count="9">
    <cacheField name="Name" numFmtId="0">
      <sharedItems/>
    </cacheField>
    <cacheField name="Phone" numFmtId="0">
      <sharedItems containsBlank="1"/>
    </cacheField>
    <cacheField name="Email" numFmtId="0">
      <sharedItems containsBlank="1"/>
    </cacheField>
    <cacheField name="Member" numFmtId="0">
      <sharedItems containsBlank="1"/>
    </cacheField>
    <cacheField name="Status" numFmtId="0">
      <sharedItems containsBlank="1"/>
    </cacheField>
    <cacheField name="Type" numFmtId="0">
      <sharedItems/>
    </cacheField>
    <cacheField name="Has Card" numFmtId="0">
      <sharedItems containsBlank="1"/>
    </cacheField>
    <cacheField name="attended 1st mtg" numFmtId="0">
      <sharedItems containsString="0" containsBlank="1" containsNumber="1" containsInteger="1" minValue="1" maxValue="1"/>
    </cacheField>
    <cacheField name="Student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hor" refreshedDate="42082.419927662035" createdVersion="5" refreshedVersion="5" minRefreshableVersion="3" recordCount="56">
  <cacheSource type="worksheet">
    <worksheetSource ref="A1:H57" sheet="Members 2014-2015" r:id="rId2"/>
  </cacheSource>
  <cacheFields count="8">
    <cacheField name="Name" numFmtId="0">
      <sharedItems containsBlank="1"/>
    </cacheField>
    <cacheField name="Phone" numFmtId="0">
      <sharedItems containsBlank="1" containsMixedTypes="1" containsNumber="1" containsInteger="1" minValue="5308773" maxValue="6694030"/>
    </cacheField>
    <cacheField name="Email" numFmtId="0">
      <sharedItems containsBlank="1"/>
    </cacheField>
    <cacheField name="Member" numFmtId="0">
      <sharedItems containsBlank="1" count="2">
        <s v="Y"/>
        <m/>
      </sharedItems>
    </cacheField>
    <cacheField name="Status" numFmtId="0">
      <sharedItems containsBlank="1" count="3">
        <s v="paid"/>
        <m/>
        <s v="volunteer"/>
      </sharedItems>
    </cacheField>
    <cacheField name="Type" numFmtId="0">
      <sharedItems containsBlank="1"/>
    </cacheField>
    <cacheField name="Has Card" numFmtId="0">
      <sharedItems containsBlank="1"/>
    </cacheField>
    <cacheField name="attended 1st mtg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n v="2232"/>
    <x v="0"/>
  </r>
  <r>
    <n v="20"/>
    <x v="1"/>
  </r>
  <r>
    <n v="75"/>
    <x v="2"/>
  </r>
  <r>
    <n v="1440.6"/>
    <x v="0"/>
  </r>
  <r>
    <n v="1610.5"/>
    <x v="0"/>
  </r>
  <r>
    <n v="85"/>
    <x v="1"/>
  </r>
  <r>
    <n v="75"/>
    <x v="2"/>
  </r>
  <r>
    <n v="8.75"/>
    <x v="3"/>
  </r>
  <r>
    <n v="30"/>
    <x v="1"/>
  </r>
  <r>
    <n v="75"/>
    <x v="2"/>
  </r>
  <r>
    <n v="68.040000000000006"/>
    <x v="4"/>
  </r>
  <r>
    <n v="25"/>
    <x v="1"/>
  </r>
  <r>
    <n v="35"/>
    <x v="4"/>
  </r>
  <r>
    <n v="625.5"/>
    <x v="5"/>
  </r>
  <r>
    <n v="70"/>
    <x v="2"/>
  </r>
  <r>
    <n v="70"/>
    <x v="2"/>
  </r>
  <r>
    <n v="70"/>
    <x v="2"/>
  </r>
  <r>
    <n v="95.99"/>
    <x v="5"/>
  </r>
  <r>
    <n v="235"/>
    <x v="6"/>
  </r>
  <r>
    <n v="150"/>
    <x v="7"/>
  </r>
  <r>
    <n v="310"/>
    <x v="7"/>
  </r>
  <r>
    <n v="30"/>
    <x v="8"/>
  </r>
  <r>
    <n v="80"/>
    <x v="9"/>
  </r>
  <r>
    <n v="50"/>
    <x v="1"/>
  </r>
  <r>
    <n v="50"/>
    <x v="10"/>
  </r>
  <r>
    <n v="36.57"/>
    <x v="5"/>
  </r>
  <r>
    <n v="750"/>
    <x v="11"/>
  </r>
  <r>
    <n v="490"/>
    <x v="0"/>
  </r>
  <r>
    <n v="60"/>
    <x v="1"/>
  </r>
  <r>
    <n v="75"/>
    <x v="2"/>
  </r>
  <r>
    <n v="70"/>
    <x v="2"/>
  </r>
  <r>
    <n v="73.989999999999995"/>
    <x v="2"/>
  </r>
  <r>
    <n v="12"/>
    <x v="4"/>
  </r>
  <r>
    <n v="200"/>
    <x v="12"/>
  </r>
  <r>
    <n v="70"/>
    <x v="2"/>
  </r>
  <r>
    <n v="70"/>
    <x v="2"/>
  </r>
  <r>
    <n v="550"/>
    <x v="11"/>
  </r>
  <r>
    <n v="70"/>
    <x v="2"/>
  </r>
  <r>
    <n v="100"/>
    <x v="13"/>
  </r>
  <r>
    <n v="300"/>
    <x v="14"/>
  </r>
  <r>
    <n v="70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7">
  <r>
    <s v="Shanise Dickson"/>
    <s v="518 818 0468"/>
    <s v="shades8779@gmail.com"/>
    <x v="0"/>
    <x v="0"/>
    <s v="parent"/>
  </r>
  <r>
    <s v="Khalid Elnagar"/>
    <s v="718 200 1347"/>
    <s v="kelnagar@hotmail.com"/>
    <x v="0"/>
    <x v="0"/>
    <s v="parent"/>
  </r>
  <r>
    <s v="Tanya Stevens"/>
    <s v="518 527 1213"/>
    <s v="tanilee2003@yahoo.com"/>
    <x v="0"/>
    <x v="0"/>
    <s v="parent"/>
  </r>
  <r>
    <s v="Jen Hulett"/>
    <s v="518 727 5408"/>
    <s v="mad.hatters.wife@gmail.com"/>
    <x v="0"/>
    <x v="0"/>
    <s v="parent"/>
  </r>
  <r>
    <s v="Matt Hulett"/>
    <s v="519 727 5408"/>
    <s v="youk1968@gmail.com"/>
    <x v="0"/>
    <x v="0"/>
    <s v="parent"/>
  </r>
  <r>
    <s v="Megan Cocci"/>
    <s v="518 475 6875"/>
    <s v="mcocci@albany.k12.ny.us"/>
    <x v="0"/>
    <x v="0"/>
    <s v="teacher"/>
  </r>
  <r>
    <s v="Holly Roberts"/>
    <s v="518 542 7047"/>
    <s v="wegenworth@aol.com"/>
    <x v="0"/>
    <x v="0"/>
    <s v="parent"/>
  </r>
  <r>
    <s v="David Roberts"/>
    <s v="518 229 4315"/>
    <s v="drconsult@aol.com"/>
    <x v="0"/>
    <x v="0"/>
    <s v="parent"/>
  </r>
  <r>
    <s v="Emily Shoop"/>
    <s v="518 488 7833"/>
    <s v="eshoop@albany.k12.ny.us"/>
    <x v="0"/>
    <x v="0"/>
    <s v="teacher"/>
  </r>
  <r>
    <s v="Meg Niro"/>
    <s v="518 438 9284"/>
    <m/>
    <x v="0"/>
    <x v="0"/>
    <s v="teacher"/>
  </r>
  <r>
    <s v="Khalid Elnagar"/>
    <s v="718 200 1347"/>
    <s v="kelnagar@hotmail.com"/>
    <x v="0"/>
    <x v="0"/>
    <s v="parent"/>
  </r>
  <r>
    <s v="Elvige Baynes"/>
    <s v="518 421 3289"/>
    <s v="kouemoelvige@yahoo.fr"/>
    <x v="0"/>
    <x v="0"/>
    <s v="parent"/>
  </r>
  <r>
    <s v="Danielle Sinkevich"/>
    <s v="518 301 5045"/>
    <s v="dsink03@gmail.com"/>
    <x v="0"/>
    <x v="0"/>
    <s v="parent"/>
  </r>
  <r>
    <s v="Nick Sinkevich"/>
    <s v="518 301 4795"/>
    <s v="nsinke0@aol.com"/>
    <x v="0"/>
    <x v="0"/>
    <s v="parent"/>
  </r>
  <r>
    <s v="Nichole Katz"/>
    <s v="518 222 1179"/>
    <s v="nicholekatz@gmail.com"/>
    <x v="0"/>
    <x v="0"/>
    <s v="parent"/>
  </r>
  <r>
    <s v="Michele Corlew"/>
    <m/>
    <m/>
    <x v="0"/>
    <x v="0"/>
    <s v="teacher"/>
  </r>
  <r>
    <s v="Andy Otoole"/>
    <m/>
    <m/>
    <x v="0"/>
    <x v="0"/>
    <s v="parent"/>
  </r>
  <r>
    <s v="Fitzroy Lewis"/>
    <m/>
    <s v="lewis.fitz@yahoo.com"/>
    <x v="0"/>
    <x v="0"/>
    <s v="parent"/>
  </r>
  <r>
    <s v="Jonathan Mamitag"/>
    <s v="518 496 7610"/>
    <m/>
    <x v="0"/>
    <x v="0"/>
    <s v="parent"/>
  </r>
  <r>
    <s v="Emily Westin"/>
    <s v="518 463 5211"/>
    <s v="leckmanwestin@gmail.com"/>
    <x v="0"/>
    <x v="0"/>
    <s v="parent"/>
  </r>
  <r>
    <s v="Carrie Coddington"/>
    <m/>
    <m/>
    <x v="0"/>
    <x v="0"/>
    <s v="parent"/>
  </r>
  <r>
    <s v="Laurie Kirchman"/>
    <m/>
    <m/>
    <x v="0"/>
    <x v="0"/>
    <s v="parent"/>
  </r>
  <r>
    <s v="Kristen Eck"/>
    <s v="518 322 5756"/>
    <s v="kris5512@aol.com"/>
    <x v="0"/>
    <x v="1"/>
    <s v="parent"/>
  </r>
  <r>
    <s v="Eric Bulson"/>
    <s v="315 725 6003"/>
    <s v="ebulson2001@yahoo.com"/>
    <x v="1"/>
    <x v="1"/>
    <s v="parent"/>
  </r>
  <r>
    <s v="Judy Stevens"/>
    <s v="517 813 4683"/>
    <s v="bammy65@gmail.com"/>
    <x v="1"/>
    <x v="1"/>
    <s v="Grparent"/>
  </r>
  <r>
    <s v="Royman Tabanao"/>
    <s v="518 291 3586"/>
    <s v="richristabanao@yahoo.com"/>
    <x v="1"/>
    <x v="1"/>
    <s v="parent"/>
  </r>
  <r>
    <s v="Maria Torres"/>
    <m/>
    <s v="mtorres@albany.k12.ny.us"/>
    <x v="1"/>
    <x v="1"/>
    <s v="teacher"/>
  </r>
  <r>
    <s v="Melissa Tapia"/>
    <s v="518 466 6630"/>
    <s v="missyfit25@msn.com"/>
    <x v="1"/>
    <x v="1"/>
    <s v="parent"/>
  </r>
  <r>
    <s v="Steve Costello"/>
    <m/>
    <s v="costellolearninglab@gmail.com"/>
    <x v="0"/>
    <x v="0"/>
    <s v="teacher"/>
  </r>
  <r>
    <s v="Demetra Vann"/>
    <s v="518 209 5671"/>
    <s v="demetravann@gmail.com"/>
    <x v="0"/>
    <x v="0"/>
    <s v="parent"/>
  </r>
  <r>
    <s v="Jack Cornell"/>
    <m/>
    <s v="jbcornell@gmail.com"/>
    <x v="0"/>
    <x v="0"/>
    <s v="parent"/>
  </r>
  <r>
    <s v="Bridget Knickerbocker"/>
    <s v="518 396 0639"/>
    <s v="bknickerbocker@albany.k12.ny.us"/>
    <x v="0"/>
    <x v="0"/>
    <s v="teacher"/>
  </r>
  <r>
    <s v="Ajia Cave"/>
    <s v="518 495 7359"/>
    <s v="amcave211@gmail.com"/>
    <x v="1"/>
    <x v="1"/>
    <s v="parent"/>
  </r>
  <r>
    <s v="Joyce Cornell"/>
    <s v="518 928 2926"/>
    <s v="graceful.j@gmail.com"/>
    <x v="0"/>
    <x v="0"/>
    <s v="parent"/>
  </r>
  <r>
    <s v="Deb Whipple"/>
    <m/>
    <s v="dwhipple@albany.k12.ny.us"/>
    <x v="0"/>
    <x v="1"/>
    <s v="teacher"/>
  </r>
  <r>
    <s v="Art Flynn"/>
    <m/>
    <s v="aflynn@albany.k12.ny.us"/>
    <x v="0"/>
    <x v="1"/>
    <s v="teacher"/>
  </r>
  <r>
    <s v="April Bacon"/>
    <s v="518 269 1476"/>
    <m/>
    <x v="1"/>
    <x v="2"/>
    <s v="parent"/>
  </r>
  <r>
    <s v="Jamaris Hernandez"/>
    <s v="718 415 1112"/>
    <m/>
    <x v="1"/>
    <x v="2"/>
    <s v="parent"/>
  </r>
  <r>
    <s v="Henrik Westin"/>
    <s v="518 463 5211"/>
    <s v="hnwestin@gmail.com"/>
    <x v="0"/>
    <x v="0"/>
    <s v="parent"/>
  </r>
  <r>
    <s v="Jeremy Kirchman"/>
    <m/>
    <m/>
    <x v="0"/>
    <x v="0"/>
    <m/>
  </r>
  <r>
    <s v="Julie Yanson"/>
    <s v="518 281 0025"/>
    <s v="mcleanyanson@gmail.com"/>
    <x v="0"/>
    <x v="0"/>
    <s v="teacher"/>
  </r>
  <r>
    <s v="Kenneth Skinner"/>
    <m/>
    <m/>
    <x v="0"/>
    <x v="0"/>
    <m/>
  </r>
  <r>
    <s v="Jimmy Vann"/>
    <m/>
    <m/>
    <x v="0"/>
    <x v="0"/>
    <s v="teacher"/>
  </r>
  <r>
    <s v="Colleen Charlton"/>
    <m/>
    <m/>
    <x v="0"/>
    <x v="0"/>
    <s v="Grparent"/>
  </r>
  <r>
    <s v="Susan Googins"/>
    <m/>
    <m/>
    <x v="0"/>
    <x v="0"/>
    <s v="teacher"/>
  </r>
  <r>
    <s v="Charmaine Thomas"/>
    <n v="5308773"/>
    <m/>
    <x v="0"/>
    <x v="0"/>
    <s v="parent"/>
  </r>
  <r>
    <s v="Margaret Greenwood"/>
    <m/>
    <m/>
    <x v="0"/>
    <x v="0"/>
    <s v="teacher"/>
  </r>
  <r>
    <s v="Jhenss Rivera"/>
    <s v="305 744 6748"/>
    <s v="jhenss@gmail.com"/>
    <x v="0"/>
    <x v="0"/>
    <s v="parent"/>
  </r>
  <r>
    <s v="Joanne Maguire"/>
    <m/>
    <m/>
    <x v="0"/>
    <x v="0"/>
    <m/>
  </r>
  <r>
    <s v="Hilary Showers"/>
    <m/>
    <m/>
    <x v="1"/>
    <x v="1"/>
    <s v="parent"/>
  </r>
  <r>
    <m/>
    <m/>
    <m/>
    <x v="1"/>
    <x v="1"/>
    <m/>
  </r>
  <r>
    <m/>
    <m/>
    <m/>
    <x v="1"/>
    <x v="1"/>
    <m/>
  </r>
  <r>
    <m/>
    <m/>
    <m/>
    <x v="1"/>
    <x v="1"/>
    <m/>
  </r>
  <r>
    <m/>
    <m/>
    <m/>
    <x v="1"/>
    <x v="1"/>
    <m/>
  </r>
  <r>
    <m/>
    <m/>
    <m/>
    <x v="1"/>
    <x v="1"/>
    <m/>
  </r>
  <r>
    <m/>
    <m/>
    <m/>
    <x v="1"/>
    <x v="1"/>
    <m/>
  </r>
  <r>
    <m/>
    <m/>
    <m/>
    <x v="1"/>
    <x v="1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9">
  <r>
    <s v="Shanise Dickson"/>
    <s v="518 818 0468"/>
    <s v="shades8779@gmail.com"/>
    <s v="Y"/>
    <s v="paid"/>
    <s v="parent"/>
    <s v="no"/>
    <m/>
    <s v="Tahdiri"/>
  </r>
  <r>
    <s v="Khalid Elnagar"/>
    <s v="718 200 1347"/>
    <s v="kelnagar@hotmail.com"/>
    <s v="Y"/>
    <s v="paid"/>
    <s v="parent"/>
    <s v="no"/>
    <m/>
    <s v="Belal"/>
  </r>
  <r>
    <s v="Tanya Stevens"/>
    <s v="518 527 1213"/>
    <s v="tanilee2003@yahoo.com"/>
    <s v="Y"/>
    <s v="paid"/>
    <s v="parent"/>
    <s v="no"/>
    <n v="1"/>
    <s v="Jude"/>
  </r>
  <r>
    <s v="Jen Hulett"/>
    <s v="518 727 5408"/>
    <s v="mad.hatters.wife@gmail.com"/>
    <s v="Y"/>
    <s v="paid"/>
    <s v="parent"/>
    <s v="no"/>
    <n v="1"/>
    <s v="Abigail"/>
  </r>
  <r>
    <s v="Matt Hulett"/>
    <s v="519 727 5408"/>
    <s v="youk1968@gmail.com"/>
    <s v="Y"/>
    <s v="paid"/>
    <s v="parent"/>
    <s v="no"/>
    <n v="1"/>
    <s v="Abigail"/>
  </r>
  <r>
    <s v="Megan Cocci"/>
    <s v="518 475 6875"/>
    <s v="mcocci@albany.k12.ny.us"/>
    <s v="Y"/>
    <s v="paid"/>
    <s v="teacher"/>
    <s v="no"/>
    <m/>
    <m/>
  </r>
  <r>
    <s v="Holly Roberts"/>
    <s v="518 542 7047"/>
    <s v="wegenworth@aol.com"/>
    <s v="Y"/>
    <s v="paid"/>
    <s v="parent"/>
    <s v="no"/>
    <n v="1"/>
    <s v="Henry"/>
  </r>
  <r>
    <s v="David Roberts"/>
    <s v="518 229 4315"/>
    <s v="drconsult@aol.com"/>
    <s v="Y"/>
    <s v="paid"/>
    <s v="parent"/>
    <s v="no"/>
    <n v="1"/>
    <s v="Henry"/>
  </r>
  <r>
    <s v="Emily Shoop"/>
    <s v="518 488 7833"/>
    <s v="eshoop@albany.k12.ny.us"/>
    <s v="Y"/>
    <s v="paid"/>
    <s v="teacher"/>
    <s v="no"/>
    <n v="1"/>
    <m/>
  </r>
  <r>
    <s v="Meg Niro"/>
    <s v="518 438 9284"/>
    <m/>
    <s v="Y"/>
    <s v="paid"/>
    <s v="teacher"/>
    <s v="no"/>
    <m/>
    <m/>
  </r>
  <r>
    <s v="Khalid Elnagar"/>
    <s v="718 200 1347"/>
    <s v="kelnagar@hotmail.com"/>
    <s v="Y"/>
    <s v="paid"/>
    <s v="parent"/>
    <s v="no"/>
    <m/>
    <s v="Belal"/>
  </r>
  <r>
    <s v="Elvige Baynes"/>
    <s v="518 421 3289"/>
    <s v="kouemoelvige@yahoo.fr"/>
    <s v="Y"/>
    <s v="paid"/>
    <s v="parent"/>
    <s v="no"/>
    <m/>
    <s v="Lexine"/>
  </r>
  <r>
    <s v="Danielle Sinkevich"/>
    <s v="518 301 5045"/>
    <s v="dsink03@gmail.com"/>
    <s v="Y"/>
    <s v="paid"/>
    <s v="parent"/>
    <s v="no"/>
    <n v="1"/>
    <s v="Alexander"/>
  </r>
  <r>
    <s v="Nick Sinkevich"/>
    <s v="518 301 4795"/>
    <s v="nsinke0@aol.com"/>
    <s v="Y"/>
    <s v="paid"/>
    <s v="parent"/>
    <s v="no"/>
    <n v="1"/>
    <s v="Alexander"/>
  </r>
  <r>
    <s v="Nichole Katz"/>
    <s v="518 222 1179"/>
    <s v="nicholekatz@gmail.com"/>
    <s v="Y"/>
    <s v="paid"/>
    <s v="parent"/>
    <s v="no"/>
    <n v="1"/>
    <s v="Jillian"/>
  </r>
  <r>
    <s v="Michele Corlew"/>
    <m/>
    <m/>
    <s v="Y"/>
    <s v="paid"/>
    <s v="teacher"/>
    <s v="no"/>
    <m/>
    <m/>
  </r>
  <r>
    <s v="Andy Otoole"/>
    <m/>
    <m/>
    <s v="Y"/>
    <s v="paid"/>
    <s v="parent"/>
    <s v="no"/>
    <n v="1"/>
    <s v="molly"/>
  </r>
  <r>
    <s v="Fitzroy Lewis"/>
    <m/>
    <s v="lewis.fitz@yahoo.com"/>
    <s v="Y"/>
    <s v="paid"/>
    <s v="parent"/>
    <s v="no"/>
    <n v="1"/>
    <s v="Fitzpatrick"/>
  </r>
  <r>
    <s v="Jonathan Mamitag"/>
    <s v="518 496 7610"/>
    <m/>
    <s v="Y"/>
    <s v="paid"/>
    <s v="parent"/>
    <s v="no"/>
    <n v="1"/>
    <s v="Johann"/>
  </r>
  <r>
    <s v="Emily Westin"/>
    <s v="518 463 5211"/>
    <s v="leckmanwestin@gmail.com"/>
    <s v="Y"/>
    <s v="paid"/>
    <s v="parent"/>
    <s v="no"/>
    <n v="1"/>
    <s v="Caleb"/>
  </r>
  <r>
    <s v="Carrie Coddington"/>
    <m/>
    <m/>
    <s v="Y"/>
    <s v="paid"/>
    <s v="parent"/>
    <s v="no"/>
    <m/>
    <m/>
  </r>
  <r>
    <s v="Laurie Kirchman"/>
    <m/>
    <m/>
    <s v="Y"/>
    <s v="paid"/>
    <s v="parent"/>
    <s v="no"/>
    <n v="1"/>
    <m/>
  </r>
  <r>
    <s v="Kristen Eck"/>
    <s v="518 322 5756"/>
    <s v="kris5512@aol.com"/>
    <s v="Y"/>
    <m/>
    <s v="parent"/>
    <s v="no"/>
    <n v="1"/>
    <m/>
  </r>
  <r>
    <s v="Eric Bulson"/>
    <s v="315 725 6003"/>
    <s v="ebulson2001@yahoo.com"/>
    <m/>
    <m/>
    <s v="parent"/>
    <m/>
    <n v="1"/>
    <m/>
  </r>
  <r>
    <s v="Judy Stevens"/>
    <s v="517 813 4683"/>
    <s v="bammy65@gmail.com"/>
    <m/>
    <m/>
    <s v="Grparent"/>
    <m/>
    <n v="1"/>
    <m/>
  </r>
  <r>
    <s v="Royman Tabanao"/>
    <s v="518 291 3586"/>
    <s v="richristabanao@yahoo.com"/>
    <m/>
    <m/>
    <s v="parent"/>
    <m/>
    <n v="1"/>
    <m/>
  </r>
  <r>
    <s v="Maria Torres"/>
    <m/>
    <s v="mtorres@albany.k12.ny.us"/>
    <m/>
    <m/>
    <s v="teacher"/>
    <m/>
    <n v="1"/>
    <m/>
  </r>
  <r>
    <s v="Melissa Tapia"/>
    <s v="518 466 6630"/>
    <s v="missyfit25@msn.com"/>
    <m/>
    <m/>
    <s v="parent"/>
    <m/>
    <n v="1"/>
    <m/>
  </r>
  <r>
    <s v="Steve Costello"/>
    <m/>
    <s v="costellolearninglab@gmail.com"/>
    <s v="Y"/>
    <s v="paid"/>
    <s v="teacher"/>
    <s v="no"/>
    <n v="1"/>
    <m/>
  </r>
  <r>
    <s v="Demetra Vann"/>
    <s v="518 209 5671"/>
    <s v="demetravann@gmail.com"/>
    <s v="Y"/>
    <s v="paid"/>
    <s v="parent"/>
    <s v="no"/>
    <n v="1"/>
    <m/>
  </r>
  <r>
    <s v="Jack Cornell"/>
    <m/>
    <s v="jbcornell@gmail.com"/>
    <s v="Y"/>
    <s v="paid"/>
    <s v="parent"/>
    <s v="no"/>
    <n v="1"/>
    <m/>
  </r>
  <r>
    <s v="Bridget Knickerbocker"/>
    <s v="518 396 0639"/>
    <s v="bknickerbocker@albany.k12.ny.us"/>
    <s v="Y"/>
    <s v="paid"/>
    <s v="teacher"/>
    <m/>
    <n v="1"/>
    <m/>
  </r>
  <r>
    <s v="Ajia Cave"/>
    <s v="518 495 7359"/>
    <s v="amcave211@gmail.com"/>
    <m/>
    <m/>
    <s v="parent"/>
    <m/>
    <n v="1"/>
    <m/>
  </r>
  <r>
    <s v="Joyce Cornell"/>
    <s v="518 928 2926"/>
    <s v="graceful.j@gmail.com"/>
    <s v="Y"/>
    <s v="paid"/>
    <s v="parent"/>
    <s v="no"/>
    <n v="1"/>
    <m/>
  </r>
  <r>
    <s v="Deb Whipple"/>
    <m/>
    <s v="dwhipple@albany.k12.ny.us"/>
    <s v="Y"/>
    <m/>
    <s v="teacher"/>
    <s v="no"/>
    <n v="1"/>
    <m/>
  </r>
  <r>
    <s v="Art Flynn"/>
    <m/>
    <s v="aflynn@albany.k12.ny.us"/>
    <s v="Y"/>
    <m/>
    <s v="teacher"/>
    <s v="no"/>
    <n v="1"/>
    <m/>
  </r>
  <r>
    <s v="April Bacon"/>
    <s v="518 269 1476"/>
    <m/>
    <m/>
    <s v="volunteer"/>
    <s v="parent"/>
    <m/>
    <m/>
    <m/>
  </r>
  <r>
    <s v="Jamaris Hernandez"/>
    <s v="718 415 1112"/>
    <m/>
    <m/>
    <s v="volunteer"/>
    <s v="parent"/>
    <m/>
    <m/>
    <m/>
  </r>
  <r>
    <s v="Henrik Westin"/>
    <s v="518 463 5211"/>
    <s v="hnwestin@gmail.com"/>
    <s v="Y"/>
    <s v="paid"/>
    <s v="parent"/>
    <s v="no"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56">
  <r>
    <s v="Shanise Dickson"/>
    <s v="518 818 0468"/>
    <s v="shades8779@gmail.com"/>
    <x v="0"/>
    <x v="0"/>
    <s v="parent"/>
    <s v="no"/>
    <m/>
  </r>
  <r>
    <s v="Khalid Elnagar"/>
    <s v="718 200 1347"/>
    <s v="kelnagar@hotmail.com"/>
    <x v="0"/>
    <x v="0"/>
    <s v="parent"/>
    <s v="no"/>
    <m/>
  </r>
  <r>
    <s v="Tanya Stevens"/>
    <s v="518 527 1213"/>
    <s v="tanilee2003@yahoo.com"/>
    <x v="0"/>
    <x v="0"/>
    <s v="parent"/>
    <s v="no"/>
    <n v="1"/>
  </r>
  <r>
    <s v="Jen Hulett"/>
    <s v="518 727 5408"/>
    <s v="mad.hatters.wife@gmail.com"/>
    <x v="0"/>
    <x v="0"/>
    <s v="parent"/>
    <s v="no"/>
    <n v="1"/>
  </r>
  <r>
    <s v="Matt Hulett"/>
    <s v="519 727 5408"/>
    <s v="youk1968@gmail.com"/>
    <x v="0"/>
    <x v="0"/>
    <s v="parent"/>
    <s v="no"/>
    <n v="1"/>
  </r>
  <r>
    <s v="Megan Cocci"/>
    <s v="518 475 6875"/>
    <s v="mcocci@albany.k12.ny.us"/>
    <x v="0"/>
    <x v="0"/>
    <s v="teacher"/>
    <s v="no"/>
    <m/>
  </r>
  <r>
    <s v="Holly Roberts"/>
    <s v="518 542 7047"/>
    <s v="wegenworth@aol.com"/>
    <x v="0"/>
    <x v="0"/>
    <s v="parent"/>
    <s v="no"/>
    <n v="1"/>
  </r>
  <r>
    <s v="David Roberts"/>
    <s v="518 229 4315"/>
    <s v="drconsult@aol.com"/>
    <x v="0"/>
    <x v="0"/>
    <s v="parent"/>
    <s v="no"/>
    <n v="1"/>
  </r>
  <r>
    <s v="Emily Shoop"/>
    <s v="518 488 7833"/>
    <s v="eshoop@albany.k12.ny.us"/>
    <x v="0"/>
    <x v="0"/>
    <s v="teacher"/>
    <s v="no"/>
    <n v="1"/>
  </r>
  <r>
    <s v="Meg Niro"/>
    <s v="518 438 9284"/>
    <m/>
    <x v="0"/>
    <x v="0"/>
    <s v="teacher"/>
    <s v="no"/>
    <m/>
  </r>
  <r>
    <s v="Khalid Elnagar"/>
    <s v="718 200 1347"/>
    <s v="kelnagar@hotmail.com"/>
    <x v="0"/>
    <x v="0"/>
    <s v="parent"/>
    <s v="no"/>
    <m/>
  </r>
  <r>
    <s v="Elvige Baynes"/>
    <s v="518 421 3289"/>
    <s v="kouemoelvige@yahoo.fr"/>
    <x v="0"/>
    <x v="0"/>
    <s v="parent"/>
    <s v="no"/>
    <m/>
  </r>
  <r>
    <s v="Danielle Sinkevich"/>
    <s v="518 301 5045"/>
    <s v="dsink03@gmail.com"/>
    <x v="0"/>
    <x v="0"/>
    <s v="parent"/>
    <s v="no"/>
    <n v="1"/>
  </r>
  <r>
    <s v="Nick Sinkevich"/>
    <s v="518 301 4795"/>
    <s v="nsinke0@aol.com"/>
    <x v="0"/>
    <x v="0"/>
    <s v="parent"/>
    <s v="no"/>
    <n v="1"/>
  </r>
  <r>
    <s v="Nichole Katz"/>
    <s v="518 222 1179"/>
    <s v="nicholekatz@gmail.com"/>
    <x v="0"/>
    <x v="0"/>
    <s v="parent"/>
    <s v="no"/>
    <n v="1"/>
  </r>
  <r>
    <s v="Michele Corlew"/>
    <m/>
    <m/>
    <x v="0"/>
    <x v="0"/>
    <s v="teacher"/>
    <s v="no"/>
    <m/>
  </r>
  <r>
    <s v="Andy Otoole"/>
    <m/>
    <m/>
    <x v="0"/>
    <x v="0"/>
    <s v="parent"/>
    <s v="no"/>
    <n v="1"/>
  </r>
  <r>
    <s v="Fitzroy Lewis"/>
    <m/>
    <s v="lewis.fitz@yahoo.com"/>
    <x v="0"/>
    <x v="0"/>
    <s v="parent"/>
    <s v="no"/>
    <n v="1"/>
  </r>
  <r>
    <s v="Jonathan Mamitag"/>
    <s v="518 496 7610"/>
    <m/>
    <x v="0"/>
    <x v="0"/>
    <s v="parent"/>
    <s v="no"/>
    <n v="1"/>
  </r>
  <r>
    <s v="Emily Westin"/>
    <s v="518 463 5211"/>
    <s v="leckmanwestin@gmail.com"/>
    <x v="0"/>
    <x v="0"/>
    <s v="parent"/>
    <s v="no"/>
    <n v="1"/>
  </r>
  <r>
    <s v="Carrie Coddington"/>
    <m/>
    <m/>
    <x v="0"/>
    <x v="0"/>
    <s v="parent"/>
    <s v="no"/>
    <m/>
  </r>
  <r>
    <s v="Laurie Kirchman"/>
    <m/>
    <m/>
    <x v="0"/>
    <x v="0"/>
    <s v="parent"/>
    <s v="no"/>
    <n v="1"/>
  </r>
  <r>
    <s v="Kristen Eck"/>
    <s v="518 322 5756"/>
    <s v="kris5512@aol.com"/>
    <x v="0"/>
    <x v="1"/>
    <s v="parent"/>
    <s v="no"/>
    <n v="1"/>
  </r>
  <r>
    <s v="Eric Bulson"/>
    <s v="315 725 6003"/>
    <s v="ebulson2001@yahoo.com"/>
    <x v="1"/>
    <x v="1"/>
    <s v="parent"/>
    <m/>
    <n v="1"/>
  </r>
  <r>
    <s v="Judy Stevens"/>
    <s v="517 813 4683"/>
    <s v="bammy65@gmail.com"/>
    <x v="1"/>
    <x v="1"/>
    <s v="Grparent"/>
    <m/>
    <n v="1"/>
  </r>
  <r>
    <s v="Royman Tabanao"/>
    <s v="518 291 3586"/>
    <s v="richristabanao@yahoo.com"/>
    <x v="1"/>
    <x v="1"/>
    <s v="parent"/>
    <m/>
    <n v="1"/>
  </r>
  <r>
    <s v="Maria Torres"/>
    <m/>
    <s v="mtorres@albany.k12.ny.us"/>
    <x v="1"/>
    <x v="1"/>
    <s v="teacher"/>
    <m/>
    <n v="1"/>
  </r>
  <r>
    <s v="Melissa Tapia"/>
    <s v="518 466 6630"/>
    <s v="missyfit25@msn.com"/>
    <x v="1"/>
    <x v="1"/>
    <s v="parent"/>
    <m/>
    <n v="1"/>
  </r>
  <r>
    <s v="Steve Costello"/>
    <m/>
    <s v="costellolearninglab@gmail.com"/>
    <x v="0"/>
    <x v="0"/>
    <s v="teacher"/>
    <s v="no"/>
    <n v="1"/>
  </r>
  <r>
    <s v="Demetra Vann"/>
    <s v="518 209 5671"/>
    <s v="demetravann@gmail.com"/>
    <x v="0"/>
    <x v="0"/>
    <s v="parent"/>
    <s v="no"/>
    <n v="1"/>
  </r>
  <r>
    <s v="Jack Cornell"/>
    <m/>
    <s v="jbcornell@gmail.com"/>
    <x v="0"/>
    <x v="0"/>
    <s v="parent"/>
    <s v="no"/>
    <n v="1"/>
  </r>
  <r>
    <s v="Bridget Knickerbocker"/>
    <s v="518 396 0639"/>
    <s v="bknickerbocker@albany.k12.ny.us"/>
    <x v="0"/>
    <x v="0"/>
    <s v="teacher"/>
    <m/>
    <n v="1"/>
  </r>
  <r>
    <s v="Ajia Cave"/>
    <s v="518 495 7359"/>
    <s v="amcave211@gmail.com"/>
    <x v="1"/>
    <x v="1"/>
    <s v="parent"/>
    <m/>
    <n v="1"/>
  </r>
  <r>
    <s v="Joyce Cornell"/>
    <s v="518 928 2926"/>
    <s v="graceful.j@gmail.com"/>
    <x v="0"/>
    <x v="0"/>
    <s v="parent"/>
    <s v="no"/>
    <n v="1"/>
  </r>
  <r>
    <s v="Deb Whipple"/>
    <m/>
    <s v="dwhipple@albany.k12.ny.us"/>
    <x v="0"/>
    <x v="0"/>
    <s v="teacher"/>
    <s v="no"/>
    <n v="1"/>
  </r>
  <r>
    <s v="Art Flynn"/>
    <m/>
    <s v="aflynn@albany.k12.ny.us"/>
    <x v="0"/>
    <x v="1"/>
    <s v="teacher"/>
    <s v="no"/>
    <n v="1"/>
  </r>
  <r>
    <s v="April Bacon"/>
    <s v="518 269 1476"/>
    <m/>
    <x v="1"/>
    <x v="2"/>
    <s v="parent"/>
    <m/>
    <m/>
  </r>
  <r>
    <s v="Jamaris Hernandez"/>
    <s v="718 415 1112"/>
    <m/>
    <x v="1"/>
    <x v="2"/>
    <s v="parent"/>
    <m/>
    <m/>
  </r>
  <r>
    <s v="Henrik Westin"/>
    <s v="518 463 5211"/>
    <s v="hnwestin@gmail.com"/>
    <x v="0"/>
    <x v="0"/>
    <s v="parent"/>
    <s v="no"/>
    <m/>
  </r>
  <r>
    <s v="Jeremy Kirchman"/>
    <m/>
    <m/>
    <x v="0"/>
    <x v="0"/>
    <m/>
    <m/>
    <m/>
  </r>
  <r>
    <s v="Julie Yanson"/>
    <s v="518 281 0025"/>
    <s v="mcleanyanson@gmail.com"/>
    <x v="0"/>
    <x v="0"/>
    <s v="teacher"/>
    <m/>
    <m/>
  </r>
  <r>
    <s v="Kenneth Skinner"/>
    <m/>
    <m/>
    <x v="0"/>
    <x v="0"/>
    <m/>
    <m/>
    <m/>
  </r>
  <r>
    <s v="Jimmy Vann"/>
    <m/>
    <m/>
    <x v="0"/>
    <x v="0"/>
    <s v="teacher"/>
    <m/>
    <m/>
  </r>
  <r>
    <s v="Colleen Charlton"/>
    <m/>
    <m/>
    <x v="0"/>
    <x v="0"/>
    <s v="Grparent"/>
    <m/>
    <m/>
  </r>
  <r>
    <s v="Susan Googins"/>
    <m/>
    <m/>
    <x v="0"/>
    <x v="0"/>
    <s v="teacher"/>
    <m/>
    <m/>
  </r>
  <r>
    <s v="Charmaine Thomas"/>
    <n v="5308773"/>
    <m/>
    <x v="0"/>
    <x v="0"/>
    <s v="parent"/>
    <m/>
    <m/>
  </r>
  <r>
    <s v="Margaret Greenwood"/>
    <m/>
    <m/>
    <x v="0"/>
    <x v="0"/>
    <s v="teacher"/>
    <m/>
    <m/>
  </r>
  <r>
    <s v="Jhenss Rivera"/>
    <s v="305 744 6748"/>
    <s v="jhenss@gmail.com"/>
    <x v="0"/>
    <x v="0"/>
    <s v="parent"/>
    <m/>
    <m/>
  </r>
  <r>
    <s v="Joanne Maguire"/>
    <m/>
    <m/>
    <x v="0"/>
    <x v="0"/>
    <m/>
    <m/>
    <m/>
  </r>
  <r>
    <s v="Hilary Showers"/>
    <m/>
    <m/>
    <x v="1"/>
    <x v="1"/>
    <s v="parent"/>
    <m/>
    <m/>
  </r>
  <r>
    <s v="Maran Person"/>
    <m/>
    <s v="mperson@albany.k12.ny.us"/>
    <x v="0"/>
    <x v="0"/>
    <s v="teacher"/>
    <m/>
    <m/>
  </r>
  <r>
    <s v="Tina Cascone"/>
    <n v="6694030"/>
    <s v="tinamcascone@gmail.com"/>
    <x v="0"/>
    <x v="0"/>
    <s v="staff"/>
    <m/>
    <m/>
  </r>
  <r>
    <s v="Shelette Pleat"/>
    <m/>
    <m/>
    <x v="0"/>
    <x v="0"/>
    <m/>
    <m/>
    <m/>
  </r>
  <r>
    <s v="Elaine Searl"/>
    <m/>
    <m/>
    <x v="0"/>
    <x v="0"/>
    <m/>
    <m/>
    <m/>
  </r>
  <r>
    <m/>
    <m/>
    <m/>
    <x v="1"/>
    <x v="1"/>
    <m/>
    <m/>
    <m/>
  </r>
  <r>
    <m/>
    <m/>
    <m/>
    <x v="1"/>
    <x v="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9" firstHeaderRow="1" firstDataRow="1" firstDataCol="1"/>
  <pivotFields count="2">
    <pivotField dataField="1" showAll="0"/>
    <pivotField axis="axisRow" showAll="0">
      <items count="29">
        <item m="1" x="26"/>
        <item m="1" x="22"/>
        <item m="1" x="17"/>
        <item m="1" x="15"/>
        <item x="6"/>
        <item m="1" x="18"/>
        <item x="4"/>
        <item m="1" x="21"/>
        <item x="13"/>
        <item m="1" x="24"/>
        <item m="1" x="27"/>
        <item m="1" x="25"/>
        <item m="1" x="23"/>
        <item m="1" x="19"/>
        <item m="1" x="20"/>
        <item x="9"/>
        <item x="8"/>
        <item m="1" x="16"/>
        <item x="0"/>
        <item x="1"/>
        <item x="2"/>
        <item x="3"/>
        <item x="5"/>
        <item x="7"/>
        <item x="10"/>
        <item x="11"/>
        <item x="12"/>
        <item x="14"/>
        <item t="default"/>
      </items>
    </pivotField>
  </pivotFields>
  <rowFields count="1">
    <field x="1"/>
  </rowFields>
  <rowItems count="16">
    <i>
      <x v="4"/>
    </i>
    <i>
      <x v="6"/>
    </i>
    <i>
      <x v="8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 of amount" fld="0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0" firstHeaderRow="1" firstDataRow="1" firstDataCol="1"/>
  <pivotFields count="6">
    <pivotField dataField="1" showAll="0"/>
    <pivotField showAll="0"/>
    <pivotField showAll="0"/>
    <pivotField axis="axisRow" showAll="0">
      <items count="3">
        <item x="0"/>
        <item x="1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</pivotFields>
  <rowFields count="2">
    <field x="3"/>
    <field x="4"/>
  </rowFields>
  <rowItems count="7">
    <i>
      <x/>
    </i>
    <i r="1">
      <x/>
    </i>
    <i r="1">
      <x v="2"/>
    </i>
    <i>
      <x v="1"/>
    </i>
    <i r="1">
      <x v="1"/>
    </i>
    <i r="1">
      <x v="2"/>
    </i>
    <i t="grand">
      <x/>
    </i>
  </rowItems>
  <colItems count="1">
    <i/>
  </colItems>
  <dataFields count="1">
    <dataField name="Count of Name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7" firstHeaderRow="1" firstDataRow="2" firstDataCol="1"/>
  <pivotFields count="8">
    <pivotField dataField="1" showAll="0"/>
    <pivotField showAll="0"/>
    <pivotField showAll="0"/>
    <pivotField axis="axisRow" showAll="0">
      <items count="3">
        <item x="0"/>
        <item x="1"/>
        <item t="default"/>
      </items>
    </pivotField>
    <pivotField axis="axisCol" showAll="0">
      <items count="4">
        <item x="0"/>
        <item x="2"/>
        <item x="1"/>
        <item t="default"/>
      </items>
    </pivotField>
    <pivotField showAll="0"/>
    <pivotField showAll="0"/>
    <pivotField showAll="0"/>
  </pivotFields>
  <rowFields count="1">
    <field x="3"/>
  </rowFields>
  <rowItems count="3">
    <i>
      <x/>
    </i>
    <i>
      <x v="1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Count of Name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I40:K57" firstHeaderRow="1" firstDataRow="1" firstDataCol="0"/>
  <pivotFields count="9"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</pivot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RevenueTable4" displayName="RevenueTable4" ref="B10:G20" totalsRowCount="1" headerRowDxfId="130" dataDxfId="129" totalsRowDxfId="128">
  <tableColumns count="6">
    <tableColumn id="1" name="REVENUE" totalsRowLabel="TOTALS" dataDxfId="127" totalsRowDxfId="126"/>
    <tableColumn id="2" name="PRIOR YEAR" totalsRowFunction="sum" dataDxfId="125" totalsRowDxfId="124"/>
    <tableColumn id="3" name="PROPOSED" totalsRowFunction="sum" dataDxfId="123" totalsRowDxfId="122"/>
    <tableColumn id="4" name="ACTUAL" totalsRowFunction="sum" dataDxfId="121" totalsRowDxfId="120"/>
    <tableColumn id="5" name="VARIANCE" totalsRowFunction="sum" dataDxfId="119" totalsRowDxfId="118">
      <calculatedColumnFormula>RevenueTable4[[#This Row],[ACTUAL]]-RevenueTable4[[#This Row],[PROPOSED]]</calculatedColumnFormula>
    </tableColumn>
    <tableColumn id="6" name="+/- PRIOR YEAR" totalsRowFunction="custom" dataDxfId="117" totalsRowDxfId="116">
      <calculatedColumnFormula>RevenueTable4[[#This Row],[ACTUAL]]-RevenueTable4[[#This Row],[PRIOR YEAR]]</calculatedColumnFormula>
      <totalsRowFormula>RevenueTable4[[#Totals],[ACTUAL]]-RevenueTable4[[#Totals],[PRIOR YEAR]]</totalsRow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revenue and totals for the prior, proposed, actual fiscal year along with the variance and difference between prior year and actual budget amounts. "/>
    </ext>
  </extLst>
</table>
</file>

<file path=xl/tables/table2.xml><?xml version="1.0" encoding="utf-8"?>
<table xmlns="http://schemas.openxmlformats.org/spreadsheetml/2006/main" id="4" name="ExpenseTable5" displayName="ExpenseTable5" ref="B30:G63" totalsRowCount="1" dataDxfId="115" totalsRowDxfId="114">
  <tableColumns count="6">
    <tableColumn id="1" name="EXPENSES" totalsRowLabel="TOTALS" dataDxfId="113" totalsRowDxfId="112"/>
    <tableColumn id="2" name="PRIOR YEAR" totalsRowFunction="sum" dataDxfId="111" totalsRowDxfId="110"/>
    <tableColumn id="3" name="PROPOSED" totalsRowFunction="sum" dataDxfId="109" totalsRowDxfId="108"/>
    <tableColumn id="4" name="ACTUAL" totalsRowFunction="sum" dataDxfId="107" totalsRowDxfId="106"/>
    <tableColumn id="5" name="VARIANCE" totalsRowFunction="sum" dataDxfId="105" totalsRowDxfId="104">
      <calculatedColumnFormula>ExpenseTable5[[#This Row],[ACTUAL]]-ExpenseTable5[[#This Row],[PROPOSED]]</calculatedColumnFormula>
    </tableColumn>
    <tableColumn id="6" name="+/- PRIOR YEAR" totalsRowFunction="sum" dataDxfId="103" totalsRowDxfId="102" dataCellStyle="Percent">
      <calculatedColumnFormula>ExpenseTable5[[#This Row],[ACTUAL]]-ExpenseTable5[[#This Row],[PRIOR YEAR]]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ables/table3.xml><?xml version="1.0" encoding="utf-8"?>
<table xmlns="http://schemas.openxmlformats.org/spreadsheetml/2006/main" id="5" name="RevenueTable46" displayName="RevenueTable46" ref="B10:G20" totalsRowCount="1" headerRowDxfId="101" dataDxfId="100" totalsRowDxfId="99">
  <tableColumns count="6">
    <tableColumn id="1" name="REVENUE" totalsRowLabel="TOTALS" dataDxfId="98" totalsRowDxfId="97"/>
    <tableColumn id="2" name="PRIOR YEAR" totalsRowFunction="sum" dataDxfId="96" totalsRowDxfId="95"/>
    <tableColumn id="3" name="PROPOSED" totalsRowFunction="sum" dataDxfId="94" totalsRowDxfId="93">
      <calculatedColumnFormula>40*10</calculatedColumnFormula>
    </tableColumn>
    <tableColumn id="4" name="ACTUAL" totalsRowFunction="sum" dataDxfId="92" totalsRowDxfId="91">
      <calculatedColumnFormula>20*10</calculatedColumnFormula>
    </tableColumn>
    <tableColumn id="5" name="VARIANCE" totalsRowFunction="sum" dataDxfId="90" totalsRowDxfId="89">
      <calculatedColumnFormula>RevenueTable46[[#This Row],[ACTUAL]]-RevenueTable46[[#This Row],[PROPOSED]]</calculatedColumnFormula>
    </tableColumn>
    <tableColumn id="6" name="+/- PRIOR YEAR" totalsRowFunction="sum" dataDxfId="88" totalsRowDxfId="87">
      <calculatedColumnFormula>RevenueTable46[[#This Row],[ACTUAL]]-RevenueTable46[[#This Row],[PRIOR YEAR]]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revenue and totals for the prior, proposed, actual fiscal year along with the variance and difference between prior year and actual budget amounts. "/>
    </ext>
  </extLst>
</table>
</file>

<file path=xl/tables/table4.xml><?xml version="1.0" encoding="utf-8"?>
<table xmlns="http://schemas.openxmlformats.org/spreadsheetml/2006/main" id="6" name="ExpenseTable57" displayName="ExpenseTable57" ref="B33:G73" totalsRowCount="1" dataDxfId="86" totalsRowDxfId="85">
  <tableColumns count="6">
    <tableColumn id="1" name="EXPENSES" totalsRowLabel="TOTALS" dataDxfId="84" totalsRowDxfId="83"/>
    <tableColumn id="2" name="PRIOR YEAR" totalsRowFunction="sum" dataDxfId="82" totalsRowDxfId="81"/>
    <tableColumn id="3" name="PROPOSED" totalsRowFunction="sum" dataDxfId="80" totalsRowDxfId="79"/>
    <tableColumn id="4" name="ACTUAL" totalsRowFunction="custom" dataDxfId="78" totalsRowDxfId="77">
      <totalsRowFormula>SUM(E35:E72) - (E50+E56)</totalsRowFormula>
    </tableColumn>
    <tableColumn id="5" name="VARIANCE" totalsRowFunction="custom" dataDxfId="76" totalsRowDxfId="75">
      <calculatedColumnFormula>ExpenseTable57[[#This Row],[ACTUAL]]-ExpenseTable57[[#This Row],[PROPOSED]]</calculatedColumnFormula>
      <totalsRowFormula>ExpenseTable57[[#Totals],[PROPOSED]]-ExpenseTable57[[#Totals],[ACTUAL]]</totalsRowFormula>
    </tableColumn>
    <tableColumn id="6" name="+/- PRIOR YEAR" totalsRowFunction="sum" dataDxfId="74" totalsRowDxfId="73" dataCellStyle="Percent">
      <calculatedColumnFormula>ExpenseTable57[[#This Row],[ACTUAL]]-ExpenseTable57[[#This Row],[PRIOR YEAR]]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ables/table5.xml><?xml version="1.0" encoding="utf-8"?>
<table xmlns="http://schemas.openxmlformats.org/spreadsheetml/2006/main" id="2" name="RevenueTable463" displayName="RevenueTable463" ref="B10:G20" totalsRowCount="1" headerRowDxfId="72" dataDxfId="71" totalsRowDxfId="70">
  <tableColumns count="6">
    <tableColumn id="1" name="REVENUE" totalsRowLabel="TOTALS" dataDxfId="69" totalsRowDxfId="68"/>
    <tableColumn id="2" name="PRIOR YEAR" totalsRowFunction="sum" dataDxfId="67" totalsRowDxfId="66"/>
    <tableColumn id="3" name="PROPOSED" totalsRowFunction="sum" dataDxfId="65" totalsRowDxfId="64"/>
    <tableColumn id="4" name="ACTUAL" totalsRowFunction="sum" dataDxfId="63" totalsRowDxfId="62"/>
    <tableColumn id="5" name="VARIANCE" totalsRowFunction="sum" dataDxfId="61" totalsRowDxfId="60">
      <calculatedColumnFormula>RevenueTable463[[#This Row],[ACTUAL]]-RevenueTable463[[#This Row],[PROPOSED]]</calculatedColumnFormula>
    </tableColumn>
    <tableColumn id="6" name="+/- PRIOR YEAR" totalsRowFunction="sum" dataDxfId="59" totalsRowDxfId="58">
      <calculatedColumnFormula>RevenueTable463[[#This Row],[ACTUAL]]-RevenueTable463[[#This Row],[PRIOR YEAR]]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revenue and totals for the prior, proposed, actual fiscal year along with the variance and difference between prior year and actual budget amounts. "/>
    </ext>
  </extLst>
</table>
</file>

<file path=xl/tables/table6.xml><?xml version="1.0" encoding="utf-8"?>
<table xmlns="http://schemas.openxmlformats.org/spreadsheetml/2006/main" id="7" name="ExpenseTable578" displayName="ExpenseTable578" ref="B33:G71" totalsRowCount="1" dataDxfId="57" totalsRowDxfId="56">
  <tableColumns count="6">
    <tableColumn id="1" name="EXPENSES" totalsRowLabel="TOTALS" dataDxfId="55" totalsRowDxfId="54"/>
    <tableColumn id="2" name="PRIOR YEAR" totalsRowFunction="custom" dataDxfId="53" totalsRowDxfId="52">
      <totalsRowFormula>C59+C55+C53+C40+C34</totalsRowFormula>
    </tableColumn>
    <tableColumn id="3" name="PROPOSED" totalsRowFunction="custom" dataDxfId="51" totalsRowDxfId="50">
      <totalsRowFormula>D59+D56+D53+D40+D34</totalsRowFormula>
    </tableColumn>
    <tableColumn id="4" name="ACTUAL" totalsRowFunction="custom" dataDxfId="49" totalsRowDxfId="48">
      <totalsRowFormula>SUM(E34,E40,E53,E54,E55,E59)</totalsRowFormula>
    </tableColumn>
    <tableColumn id="5" name="VARIANCE" totalsRowFunction="custom" dataDxfId="47" totalsRowDxfId="46">
      <calculatedColumnFormula>ExpenseTable578[[#This Row],[ACTUAL]]-ExpenseTable578[[#This Row],[PROPOSED]]</calculatedColumnFormula>
      <totalsRowFormula>ExpenseTable578[[#Totals],[PROPOSED]]-ExpenseTable578[[#Totals],[ACTUAL]]</totalsRowFormula>
    </tableColumn>
    <tableColumn id="6" name="+/- PRIOR YEAR" totalsRowFunction="custom" dataDxfId="45" totalsRowDxfId="44" dataCellStyle="Percent">
      <calculatedColumnFormula>ExpenseTable578[[#This Row],[ACTUAL]]-ExpenseTable578[[#This Row],[PRIOR YEAR]]</calculatedColumnFormula>
      <totalsRowFormula>ExpenseTable578[[#Totals],[ACTUAL]]-ExpenseTable578[[#Totals],[PRIOR YEAR]]</totalsRow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ables/table7.xml><?xml version="1.0" encoding="utf-8"?>
<table xmlns="http://schemas.openxmlformats.org/spreadsheetml/2006/main" id="8" name="RevenueTable4639" displayName="RevenueTable4639" ref="B10:G20" totalsRowCount="1" headerRowDxfId="43" dataDxfId="42" totalsRowDxfId="41">
  <tableColumns count="6">
    <tableColumn id="1" name="REVENUE" totalsRowLabel="TOTALS" dataDxfId="40" totalsRowDxfId="11"/>
    <tableColumn id="2" name="PRIOR YEAR" totalsRowFunction="sum" dataDxfId="39" totalsRowDxfId="10"/>
    <tableColumn id="3" name="PROPOSED" totalsRowFunction="sum" dataDxfId="38" totalsRowDxfId="9"/>
    <tableColumn id="4" name="ACTUAL" totalsRowFunction="sum" dataDxfId="37" totalsRowDxfId="8"/>
    <tableColumn id="5" name="VARIANCE" totalsRowFunction="sum" dataDxfId="36" totalsRowDxfId="7">
      <calculatedColumnFormula>RevenueTable4639[[#This Row],[ACTUAL]]-RevenueTable4639[[#This Row],[PROPOSED]]</calculatedColumnFormula>
    </tableColumn>
    <tableColumn id="6" name="+/- PRIOR YEAR" totalsRowFunction="sum" dataDxfId="35" totalsRowDxfId="6">
      <calculatedColumnFormula>RevenueTable4639[[#This Row],[ACTUAL]]-RevenueTable4639[[#This Row],[PRIOR YEAR]]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revenue and totals for the prior, proposed, actual fiscal year along with the variance and difference between prior year and actual budget amounts. "/>
    </ext>
  </extLst>
</table>
</file>

<file path=xl/tables/table8.xml><?xml version="1.0" encoding="utf-8"?>
<table xmlns="http://schemas.openxmlformats.org/spreadsheetml/2006/main" id="9" name="ExpenseTable57810" displayName="ExpenseTable57810" ref="B33:G72" totalsRowCount="1" dataDxfId="34" totalsRowDxfId="33">
  <tableColumns count="6">
    <tableColumn id="1" name="EXPENSES" totalsRowLabel="TOTALS" dataDxfId="32" totalsRowDxfId="5"/>
    <tableColumn id="2" name="PRIOR YEAR" totalsRowFunction="custom" dataDxfId="31" totalsRowDxfId="4">
      <totalsRowFormula>C60+C56+C54+C41+C34</totalsRowFormula>
    </tableColumn>
    <tableColumn id="3" name="PROPOSED" totalsRowFunction="custom" dataDxfId="30" totalsRowDxfId="3">
      <totalsRowFormula>D60+D57+D54+D41+D34+D40</totalsRowFormula>
    </tableColumn>
    <tableColumn id="4" name="ACTUAL" totalsRowFunction="custom" dataDxfId="29" totalsRowDxfId="2">
      <totalsRowFormula>SUM(E34,E41,E54,E55,E56,E60)</totalsRowFormula>
    </tableColumn>
    <tableColumn id="5" name="VARIANCE" totalsRowFunction="custom" dataDxfId="28" totalsRowDxfId="1">
      <calculatedColumnFormula>ExpenseTable57810[[#This Row],[ACTUAL]]-ExpenseTable57810[[#This Row],[PROPOSED]]</calculatedColumnFormula>
      <totalsRowFormula>ExpenseTable57810[[#Totals],[PROPOSED]]-ExpenseTable57810[[#Totals],[ACTUAL]]</totalsRowFormula>
    </tableColumn>
    <tableColumn id="6" name="+/- PRIOR YEAR" totalsRowFunction="custom" dataDxfId="27" totalsRowDxfId="0" dataCellStyle="Percent">
      <calculatedColumnFormula>ExpenseTable57810[[#This Row],[ACTUAL]]-ExpenseTable57810[[#This Row],[PRIOR YEAR]]</calculatedColumnFormula>
      <totalsRowFormula>ExpenseTable57810[[#Totals],[ACTUAL]]-ExpenseTable57810[[#Totals],[PRIOR YEAR]]</totalsRow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venue" altTextSummary="List of expenses and totals for the prior, proposed, actual fiscal year along with the variance and difference between prior year and actual budget amounts. "/>
    </ext>
  </extLst>
</table>
</file>

<file path=xl/tables/table9.xml><?xml version="1.0" encoding="utf-8"?>
<table xmlns="http://schemas.openxmlformats.org/spreadsheetml/2006/main" id="1" name="Table1" displayName="Table1" ref="A1:F38" totalsRowShown="0">
  <autoFilter ref="A1:F38"/>
  <tableColumns count="6">
    <tableColumn id="1" name="Name"/>
    <tableColumn id="2" name="Phone"/>
    <tableColumn id="3" name="Email"/>
    <tableColumn id="4" name="Member"/>
    <tableColumn id="5" name="Status"/>
    <tableColumn id="6" name="Type"/>
  </tableColumns>
  <tableStyleInfo name="Non-Profit 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wegenworth@aol.com" TargetMode="External"/><Relationship Id="rId13" Type="http://schemas.openxmlformats.org/officeDocument/2006/relationships/hyperlink" Target="mailto:dsink03@gmail.com" TargetMode="External"/><Relationship Id="rId18" Type="http://schemas.openxmlformats.org/officeDocument/2006/relationships/hyperlink" Target="mailto:ebulson2001@yahoo.com" TargetMode="External"/><Relationship Id="rId26" Type="http://schemas.openxmlformats.org/officeDocument/2006/relationships/hyperlink" Target="mailto:amcave211@gmail.com" TargetMode="External"/><Relationship Id="rId3" Type="http://schemas.openxmlformats.org/officeDocument/2006/relationships/hyperlink" Target="mailto:kelnagar@hotmail.com" TargetMode="External"/><Relationship Id="rId21" Type="http://schemas.openxmlformats.org/officeDocument/2006/relationships/hyperlink" Target="mailto:mtorres@albany.k12.ny.us" TargetMode="External"/><Relationship Id="rId34" Type="http://schemas.openxmlformats.org/officeDocument/2006/relationships/hyperlink" Target="mailto:jhenss@gmail.com" TargetMode="External"/><Relationship Id="rId7" Type="http://schemas.openxmlformats.org/officeDocument/2006/relationships/hyperlink" Target="mailto:mcocci@albany.k12.ny.us" TargetMode="External"/><Relationship Id="rId12" Type="http://schemas.openxmlformats.org/officeDocument/2006/relationships/hyperlink" Target="mailto:kouemoelvige@yahoo.fr" TargetMode="External"/><Relationship Id="rId17" Type="http://schemas.openxmlformats.org/officeDocument/2006/relationships/hyperlink" Target="mailto:kris5512@aol.com" TargetMode="External"/><Relationship Id="rId25" Type="http://schemas.openxmlformats.org/officeDocument/2006/relationships/hyperlink" Target="mailto:jbcornell@gmail.com" TargetMode="External"/><Relationship Id="rId33" Type="http://schemas.openxmlformats.org/officeDocument/2006/relationships/hyperlink" Target="mailto:mcleanyanson@gmail.com" TargetMode="External"/><Relationship Id="rId38" Type="http://schemas.openxmlformats.org/officeDocument/2006/relationships/printerSettings" Target="../printerSettings/printerSettings5.bin"/><Relationship Id="rId2" Type="http://schemas.openxmlformats.org/officeDocument/2006/relationships/hyperlink" Target="mailto:shades8779@gmail.com" TargetMode="External"/><Relationship Id="rId16" Type="http://schemas.openxmlformats.org/officeDocument/2006/relationships/hyperlink" Target="mailto:leckmanwestin@gmail.com" TargetMode="External"/><Relationship Id="rId20" Type="http://schemas.openxmlformats.org/officeDocument/2006/relationships/hyperlink" Target="mailto:richristabanao@yahoo.com" TargetMode="External"/><Relationship Id="rId29" Type="http://schemas.openxmlformats.org/officeDocument/2006/relationships/hyperlink" Target="mailto:lewis.fitz@yahoo.com" TargetMode="External"/><Relationship Id="rId1" Type="http://schemas.openxmlformats.org/officeDocument/2006/relationships/pivotTable" Target="../pivotTables/pivotTable4.xml"/><Relationship Id="rId6" Type="http://schemas.openxmlformats.org/officeDocument/2006/relationships/hyperlink" Target="mailto:youk1968@gmail.com" TargetMode="External"/><Relationship Id="rId11" Type="http://schemas.openxmlformats.org/officeDocument/2006/relationships/hyperlink" Target="mailto:kelnagar@hotmail.com" TargetMode="External"/><Relationship Id="rId24" Type="http://schemas.openxmlformats.org/officeDocument/2006/relationships/hyperlink" Target="mailto:demetravann@gmail.com" TargetMode="External"/><Relationship Id="rId32" Type="http://schemas.openxmlformats.org/officeDocument/2006/relationships/hyperlink" Target="mailto:hnwestin@gmail.com" TargetMode="External"/><Relationship Id="rId37" Type="http://schemas.openxmlformats.org/officeDocument/2006/relationships/hyperlink" Target="mailto:kennyskin@earthlink.net" TargetMode="External"/><Relationship Id="rId5" Type="http://schemas.openxmlformats.org/officeDocument/2006/relationships/hyperlink" Target="mailto:mad.hatters.wife@gmail.com" TargetMode="External"/><Relationship Id="rId15" Type="http://schemas.openxmlformats.org/officeDocument/2006/relationships/hyperlink" Target="mailto:nicholekatz@gmail.com" TargetMode="External"/><Relationship Id="rId23" Type="http://schemas.openxmlformats.org/officeDocument/2006/relationships/hyperlink" Target="mailto:costellolearninglab@gmail.com" TargetMode="External"/><Relationship Id="rId28" Type="http://schemas.openxmlformats.org/officeDocument/2006/relationships/hyperlink" Target="mailto:dwhipple@albany.k12.ny.us" TargetMode="External"/><Relationship Id="rId36" Type="http://schemas.openxmlformats.org/officeDocument/2006/relationships/hyperlink" Target="mailto:tinamcascone@gmail.com" TargetMode="External"/><Relationship Id="rId10" Type="http://schemas.openxmlformats.org/officeDocument/2006/relationships/hyperlink" Target="mailto:eshoop@albany.k12.ny.us" TargetMode="External"/><Relationship Id="rId19" Type="http://schemas.openxmlformats.org/officeDocument/2006/relationships/hyperlink" Target="mailto:bammy65@gmail.com" TargetMode="External"/><Relationship Id="rId31" Type="http://schemas.openxmlformats.org/officeDocument/2006/relationships/hyperlink" Target="mailto:bknickerbocker@albany.k12.ny.us" TargetMode="External"/><Relationship Id="rId4" Type="http://schemas.openxmlformats.org/officeDocument/2006/relationships/hyperlink" Target="mailto:tanilee2003@yahoo.com" TargetMode="External"/><Relationship Id="rId9" Type="http://schemas.openxmlformats.org/officeDocument/2006/relationships/hyperlink" Target="mailto:drconsult@aol.com" TargetMode="External"/><Relationship Id="rId14" Type="http://schemas.openxmlformats.org/officeDocument/2006/relationships/hyperlink" Target="mailto:nsinke0@aol.com" TargetMode="External"/><Relationship Id="rId22" Type="http://schemas.openxmlformats.org/officeDocument/2006/relationships/hyperlink" Target="mailto:missyfit25@msn.com" TargetMode="External"/><Relationship Id="rId27" Type="http://schemas.openxmlformats.org/officeDocument/2006/relationships/hyperlink" Target="mailto:graceful.j@gmail.com" TargetMode="External"/><Relationship Id="rId30" Type="http://schemas.openxmlformats.org/officeDocument/2006/relationships/hyperlink" Target="mailto:aflynn@albany.k12.ny.us" TargetMode="External"/><Relationship Id="rId35" Type="http://schemas.openxmlformats.org/officeDocument/2006/relationships/hyperlink" Target="mailto:mperson@albany.k12.ny.us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"/>
  <sheetViews>
    <sheetView topLeftCell="A2" workbookViewId="0">
      <selection activeCell="G17" sqref="G17"/>
    </sheetView>
  </sheetViews>
  <sheetFormatPr defaultRowHeight="14.4" x14ac:dyDescent="0.3"/>
  <cols>
    <col min="1" max="1" width="24.33203125" customWidth="1"/>
    <col min="2" max="2" width="13.6640625" bestFit="1" customWidth="1"/>
  </cols>
  <sheetData>
    <row r="3" spans="1:5" x14ac:dyDescent="0.3">
      <c r="A3" s="33" t="s">
        <v>81</v>
      </c>
      <c r="B3" t="s">
        <v>83</v>
      </c>
    </row>
    <row r="4" spans="1:5" x14ac:dyDescent="0.3">
      <c r="A4" s="34" t="s">
        <v>67</v>
      </c>
      <c r="B4" s="35">
        <v>235</v>
      </c>
    </row>
    <row r="5" spans="1:5" x14ac:dyDescent="0.3">
      <c r="A5" s="34" t="s">
        <v>68</v>
      </c>
      <c r="B5" s="35">
        <v>115.04</v>
      </c>
    </row>
    <row r="6" spans="1:5" x14ac:dyDescent="0.3">
      <c r="A6" s="34" t="s">
        <v>55</v>
      </c>
      <c r="B6" s="35">
        <v>100</v>
      </c>
    </row>
    <row r="7" spans="1:5" x14ac:dyDescent="0.3">
      <c r="A7" s="34" t="s">
        <v>84</v>
      </c>
      <c r="B7" s="35">
        <v>80</v>
      </c>
    </row>
    <row r="8" spans="1:5" x14ac:dyDescent="0.3">
      <c r="A8" s="34" t="s">
        <v>85</v>
      </c>
      <c r="B8" s="35">
        <v>30</v>
      </c>
    </row>
    <row r="9" spans="1:5" x14ac:dyDescent="0.3">
      <c r="A9" s="34" t="s">
        <v>87</v>
      </c>
      <c r="B9" s="35">
        <v>5773.1</v>
      </c>
    </row>
    <row r="10" spans="1:5" x14ac:dyDescent="0.3">
      <c r="A10" s="34" t="s">
        <v>71</v>
      </c>
      <c r="B10" s="35">
        <v>270</v>
      </c>
    </row>
    <row r="11" spans="1:5" x14ac:dyDescent="0.3">
      <c r="A11" s="34" t="s">
        <v>72</v>
      </c>
      <c r="B11" s="35">
        <v>933.99</v>
      </c>
    </row>
    <row r="12" spans="1:5" x14ac:dyDescent="0.3">
      <c r="A12" s="34" t="s">
        <v>3</v>
      </c>
      <c r="B12" s="35">
        <v>8.75</v>
      </c>
      <c r="E12">
        <f>12+68+35</f>
        <v>115</v>
      </c>
    </row>
    <row r="13" spans="1:5" x14ac:dyDescent="0.3">
      <c r="A13" s="34" t="s">
        <v>88</v>
      </c>
      <c r="B13" s="35">
        <v>758.06000000000006</v>
      </c>
    </row>
    <row r="14" spans="1:5" x14ac:dyDescent="0.3">
      <c r="A14" s="34" t="s">
        <v>34</v>
      </c>
      <c r="B14" s="35">
        <v>460</v>
      </c>
    </row>
    <row r="15" spans="1:5" x14ac:dyDescent="0.3">
      <c r="A15" s="34" t="s">
        <v>40</v>
      </c>
      <c r="B15" s="35">
        <v>50</v>
      </c>
    </row>
    <row r="16" spans="1:5" x14ac:dyDescent="0.3">
      <c r="A16" s="34" t="s">
        <v>89</v>
      </c>
      <c r="B16" s="35">
        <v>1300</v>
      </c>
    </row>
    <row r="17" spans="1:2" x14ac:dyDescent="0.3">
      <c r="A17" s="34" t="s">
        <v>75</v>
      </c>
      <c r="B17" s="35">
        <v>200</v>
      </c>
    </row>
    <row r="18" spans="1:2" x14ac:dyDescent="0.3">
      <c r="A18" s="34" t="s">
        <v>51</v>
      </c>
      <c r="B18" s="35">
        <v>300</v>
      </c>
    </row>
    <row r="19" spans="1:2" x14ac:dyDescent="0.3">
      <c r="A19" s="34" t="s">
        <v>82</v>
      </c>
      <c r="B19" s="35">
        <v>10613.94</v>
      </c>
    </row>
    <row r="21" spans="1:2" x14ac:dyDescent="0.3">
      <c r="B21">
        <f>GETPIVOTDATA("amount",$A$3)-5773.1</f>
        <v>4840.84</v>
      </c>
    </row>
    <row r="22" spans="1:2" x14ac:dyDescent="0.3">
      <c r="B22">
        <f>B21-1300</f>
        <v>3540.84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G21" sqref="G21"/>
    </sheetView>
  </sheetViews>
  <sheetFormatPr defaultRowHeight="14.4" x14ac:dyDescent="0.3"/>
  <cols>
    <col min="1" max="1" width="13.88671875" bestFit="1" customWidth="1"/>
    <col min="2" max="2" width="15.5546875" bestFit="1" customWidth="1"/>
    <col min="3" max="3" width="9.109375" bestFit="1" customWidth="1"/>
    <col min="4" max="4" width="7" customWidth="1"/>
    <col min="5" max="5" width="10.6640625" bestFit="1" customWidth="1"/>
  </cols>
  <sheetData>
    <row r="3" spans="1:5" x14ac:dyDescent="0.3">
      <c r="A3" s="33" t="s">
        <v>228</v>
      </c>
      <c r="B3" s="33" t="s">
        <v>285</v>
      </c>
    </row>
    <row r="4" spans="1:5" x14ac:dyDescent="0.3">
      <c r="A4" s="33" t="s">
        <v>81</v>
      </c>
      <c r="B4" s="1" t="s">
        <v>101</v>
      </c>
      <c r="C4" s="1" t="s">
        <v>224</v>
      </c>
      <c r="D4" s="1" t="s">
        <v>227</v>
      </c>
      <c r="E4" s="1" t="s">
        <v>82</v>
      </c>
    </row>
    <row r="5" spans="1:5" x14ac:dyDescent="0.3">
      <c r="A5" s="34" t="s">
        <v>217</v>
      </c>
      <c r="B5" s="35">
        <v>43</v>
      </c>
      <c r="C5" s="35"/>
      <c r="D5" s="35">
        <v>2</v>
      </c>
      <c r="E5" s="35">
        <v>45</v>
      </c>
    </row>
    <row r="6" spans="1:5" x14ac:dyDescent="0.3">
      <c r="A6" s="34" t="s">
        <v>227</v>
      </c>
      <c r="B6" s="35"/>
      <c r="C6" s="35">
        <v>2</v>
      </c>
      <c r="D6" s="35">
        <v>7</v>
      </c>
      <c r="E6" s="35">
        <v>9</v>
      </c>
    </row>
    <row r="7" spans="1:5" x14ac:dyDescent="0.3">
      <c r="A7" s="34" t="s">
        <v>82</v>
      </c>
      <c r="B7" s="35">
        <v>43</v>
      </c>
      <c r="C7" s="35">
        <v>2</v>
      </c>
      <c r="D7" s="35">
        <v>9</v>
      </c>
      <c r="E7" s="35">
        <v>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41" workbookViewId="0">
      <selection activeCell="C66" sqref="C66"/>
    </sheetView>
  </sheetViews>
  <sheetFormatPr defaultRowHeight="14.4" x14ac:dyDescent="0.3"/>
  <cols>
    <col min="1" max="1" width="20.6640625" customWidth="1"/>
    <col min="2" max="2" width="12" customWidth="1"/>
    <col min="3" max="3" width="21.6640625" customWidth="1"/>
    <col min="4" max="4" width="9" style="1" customWidth="1"/>
    <col min="7" max="7" width="8.88671875" style="1"/>
    <col min="8" max="8" width="8.6640625" style="1"/>
  </cols>
  <sheetData>
    <row r="1" spans="1:12" x14ac:dyDescent="0.3">
      <c r="A1" t="s">
        <v>90</v>
      </c>
      <c r="B1" t="s">
        <v>91</v>
      </c>
      <c r="C1" t="s">
        <v>92</v>
      </c>
      <c r="D1" s="1" t="s">
        <v>216</v>
      </c>
      <c r="E1" t="s">
        <v>93</v>
      </c>
      <c r="F1" t="s">
        <v>94</v>
      </c>
      <c r="G1" s="1" t="s">
        <v>238</v>
      </c>
      <c r="H1" s="1" t="s">
        <v>220</v>
      </c>
      <c r="I1" t="s">
        <v>95</v>
      </c>
      <c r="J1" t="s">
        <v>96</v>
      </c>
      <c r="K1" t="s">
        <v>97</v>
      </c>
      <c r="L1" t="s">
        <v>96</v>
      </c>
    </row>
    <row r="2" spans="1:12" x14ac:dyDescent="0.3">
      <c r="A2" t="s">
        <v>98</v>
      </c>
      <c r="B2" t="s">
        <v>99</v>
      </c>
      <c r="C2" s="36" t="s">
        <v>100</v>
      </c>
      <c r="D2" s="37" t="s">
        <v>217</v>
      </c>
      <c r="E2" t="s">
        <v>101</v>
      </c>
      <c r="F2" t="s">
        <v>102</v>
      </c>
      <c r="G2" s="1" t="s">
        <v>239</v>
      </c>
      <c r="I2" t="s">
        <v>103</v>
      </c>
      <c r="J2" t="s">
        <v>104</v>
      </c>
    </row>
    <row r="3" spans="1:12" x14ac:dyDescent="0.3">
      <c r="A3" t="s">
        <v>105</v>
      </c>
      <c r="B3" t="s">
        <v>106</v>
      </c>
      <c r="C3" s="36" t="s">
        <v>107</v>
      </c>
      <c r="D3" s="37" t="s">
        <v>217</v>
      </c>
      <c r="E3" t="s">
        <v>101</v>
      </c>
      <c r="F3" t="s">
        <v>102</v>
      </c>
      <c r="G3" s="1" t="s">
        <v>239</v>
      </c>
      <c r="I3" t="s">
        <v>108</v>
      </c>
      <c r="J3" t="s">
        <v>104</v>
      </c>
      <c r="K3" t="s">
        <v>109</v>
      </c>
      <c r="L3">
        <v>1</v>
      </c>
    </row>
    <row r="4" spans="1:12" x14ac:dyDescent="0.3">
      <c r="A4" t="s">
        <v>110</v>
      </c>
      <c r="B4" t="s">
        <v>111</v>
      </c>
      <c r="C4" s="36" t="s">
        <v>112</v>
      </c>
      <c r="D4" s="37" t="s">
        <v>217</v>
      </c>
      <c r="E4" t="s">
        <v>101</v>
      </c>
      <c r="F4" t="s">
        <v>102</v>
      </c>
      <c r="G4" s="1" t="s">
        <v>239</v>
      </c>
      <c r="H4" s="1">
        <v>1</v>
      </c>
      <c r="I4" t="s">
        <v>113</v>
      </c>
      <c r="J4" t="s">
        <v>114</v>
      </c>
    </row>
    <row r="5" spans="1:12" x14ac:dyDescent="0.3">
      <c r="A5" t="s">
        <v>115</v>
      </c>
      <c r="B5" t="s">
        <v>116</v>
      </c>
      <c r="C5" s="36" t="s">
        <v>117</v>
      </c>
      <c r="D5" s="37" t="s">
        <v>217</v>
      </c>
      <c r="E5" t="s">
        <v>101</v>
      </c>
      <c r="F5" t="s">
        <v>102</v>
      </c>
      <c r="G5" s="1" t="s">
        <v>239</v>
      </c>
      <c r="H5" s="1">
        <v>1</v>
      </c>
      <c r="I5" t="s">
        <v>118</v>
      </c>
      <c r="J5">
        <v>1</v>
      </c>
    </row>
    <row r="6" spans="1:12" x14ac:dyDescent="0.3">
      <c r="A6" t="s">
        <v>119</v>
      </c>
      <c r="B6" s="1" t="s">
        <v>120</v>
      </c>
      <c r="C6" s="36" t="s">
        <v>215</v>
      </c>
      <c r="D6" s="37" t="s">
        <v>217</v>
      </c>
      <c r="E6" s="1" t="s">
        <v>101</v>
      </c>
      <c r="F6" s="1" t="s">
        <v>102</v>
      </c>
      <c r="G6" s="1" t="s">
        <v>239</v>
      </c>
      <c r="H6" s="1">
        <v>1</v>
      </c>
      <c r="I6" s="1" t="s">
        <v>118</v>
      </c>
      <c r="J6" s="1">
        <v>2</v>
      </c>
    </row>
    <row r="7" spans="1:12" x14ac:dyDescent="0.3">
      <c r="A7" t="s">
        <v>121</v>
      </c>
      <c r="B7" t="s">
        <v>122</v>
      </c>
      <c r="C7" s="36" t="s">
        <v>123</v>
      </c>
      <c r="D7" s="37" t="s">
        <v>217</v>
      </c>
      <c r="E7" t="s">
        <v>101</v>
      </c>
      <c r="F7" t="s">
        <v>124</v>
      </c>
      <c r="G7" s="1" t="s">
        <v>239</v>
      </c>
    </row>
    <row r="8" spans="1:12" x14ac:dyDescent="0.3">
      <c r="A8" t="s">
        <v>125</v>
      </c>
      <c r="B8" t="s">
        <v>126</v>
      </c>
      <c r="C8" s="36" t="s">
        <v>127</v>
      </c>
      <c r="D8" s="37" t="s">
        <v>217</v>
      </c>
      <c r="E8" t="s">
        <v>101</v>
      </c>
      <c r="F8" t="s">
        <v>102</v>
      </c>
      <c r="G8" s="1" t="s">
        <v>239</v>
      </c>
      <c r="H8" s="1">
        <v>1</v>
      </c>
      <c r="I8" t="s">
        <v>128</v>
      </c>
      <c r="J8" t="s">
        <v>129</v>
      </c>
    </row>
    <row r="9" spans="1:12" x14ac:dyDescent="0.3">
      <c r="A9" t="s">
        <v>130</v>
      </c>
      <c r="B9" t="s">
        <v>131</v>
      </c>
      <c r="C9" s="36" t="s">
        <v>132</v>
      </c>
      <c r="D9" s="37" t="s">
        <v>217</v>
      </c>
      <c r="E9" t="s">
        <v>101</v>
      </c>
      <c r="F9" t="s">
        <v>102</v>
      </c>
      <c r="G9" s="1" t="s">
        <v>239</v>
      </c>
      <c r="H9" s="1">
        <v>1</v>
      </c>
      <c r="I9" t="s">
        <v>128</v>
      </c>
      <c r="J9" t="s">
        <v>129</v>
      </c>
    </row>
    <row r="10" spans="1:12" x14ac:dyDescent="0.3">
      <c r="A10" t="s">
        <v>133</v>
      </c>
      <c r="B10" t="s">
        <v>134</v>
      </c>
      <c r="C10" s="36" t="s">
        <v>135</v>
      </c>
      <c r="D10" s="37" t="s">
        <v>217</v>
      </c>
      <c r="E10" t="s">
        <v>101</v>
      </c>
      <c r="F10" t="s">
        <v>124</v>
      </c>
      <c r="G10" s="1" t="s">
        <v>239</v>
      </c>
      <c r="H10" s="1">
        <v>1</v>
      </c>
    </row>
    <row r="11" spans="1:12" x14ac:dyDescent="0.3">
      <c r="A11" t="s">
        <v>136</v>
      </c>
      <c r="B11" t="s">
        <v>137</v>
      </c>
      <c r="D11" s="37" t="s">
        <v>217</v>
      </c>
      <c r="E11" t="s">
        <v>101</v>
      </c>
      <c r="F11" t="s">
        <v>124</v>
      </c>
      <c r="G11" s="1" t="s">
        <v>239</v>
      </c>
    </row>
    <row r="12" spans="1:12" x14ac:dyDescent="0.3">
      <c r="A12" t="s">
        <v>105</v>
      </c>
      <c r="B12" t="s">
        <v>106</v>
      </c>
      <c r="C12" s="36" t="s">
        <v>107</v>
      </c>
      <c r="D12" s="37" t="s">
        <v>217</v>
      </c>
      <c r="E12" t="s">
        <v>101</v>
      </c>
      <c r="F12" t="s">
        <v>102</v>
      </c>
      <c r="G12" s="1" t="s">
        <v>239</v>
      </c>
      <c r="I12" t="s">
        <v>108</v>
      </c>
      <c r="J12" t="s">
        <v>114</v>
      </c>
      <c r="K12" t="s">
        <v>109</v>
      </c>
      <c r="L12">
        <v>1</v>
      </c>
    </row>
    <row r="13" spans="1:12" x14ac:dyDescent="0.3">
      <c r="A13" t="s">
        <v>138</v>
      </c>
      <c r="B13" t="s">
        <v>139</v>
      </c>
      <c r="C13" s="36" t="s">
        <v>140</v>
      </c>
      <c r="D13" s="37" t="s">
        <v>217</v>
      </c>
      <c r="E13" t="s">
        <v>101</v>
      </c>
      <c r="F13" t="s">
        <v>102</v>
      </c>
      <c r="G13" s="1" t="s">
        <v>239</v>
      </c>
      <c r="I13" t="s">
        <v>141</v>
      </c>
      <c r="J13">
        <v>3</v>
      </c>
    </row>
    <row r="14" spans="1:12" x14ac:dyDescent="0.3">
      <c r="A14" t="s">
        <v>142</v>
      </c>
      <c r="B14" t="s">
        <v>143</v>
      </c>
      <c r="C14" s="36" t="s">
        <v>144</v>
      </c>
      <c r="D14" s="37" t="s">
        <v>217</v>
      </c>
      <c r="E14" t="s">
        <v>101</v>
      </c>
      <c r="F14" t="s">
        <v>102</v>
      </c>
      <c r="G14" s="1" t="s">
        <v>239</v>
      </c>
      <c r="H14" s="1">
        <v>1</v>
      </c>
      <c r="I14" t="s">
        <v>145</v>
      </c>
      <c r="J14" t="s">
        <v>104</v>
      </c>
    </row>
    <row r="15" spans="1:12" x14ac:dyDescent="0.3">
      <c r="A15" t="s">
        <v>146</v>
      </c>
      <c r="B15" t="s">
        <v>147</v>
      </c>
      <c r="C15" s="36" t="s">
        <v>148</v>
      </c>
      <c r="D15" s="37" t="s">
        <v>217</v>
      </c>
      <c r="E15" t="s">
        <v>101</v>
      </c>
      <c r="F15" t="s">
        <v>102</v>
      </c>
      <c r="G15" s="1" t="s">
        <v>239</v>
      </c>
      <c r="H15" s="1">
        <v>1</v>
      </c>
      <c r="I15" t="s">
        <v>145</v>
      </c>
      <c r="J15" t="s">
        <v>104</v>
      </c>
    </row>
    <row r="16" spans="1:12" x14ac:dyDescent="0.3">
      <c r="A16" t="s">
        <v>149</v>
      </c>
      <c r="B16" t="s">
        <v>150</v>
      </c>
      <c r="C16" s="36" t="s">
        <v>151</v>
      </c>
      <c r="D16" s="37" t="s">
        <v>217</v>
      </c>
      <c r="E16" t="s">
        <v>101</v>
      </c>
      <c r="F16" t="s">
        <v>102</v>
      </c>
      <c r="G16" s="1" t="s">
        <v>239</v>
      </c>
      <c r="H16" s="1">
        <v>1</v>
      </c>
      <c r="I16" t="s">
        <v>152</v>
      </c>
      <c r="J16">
        <v>1</v>
      </c>
      <c r="K16" t="s">
        <v>153</v>
      </c>
      <c r="L16" t="s">
        <v>129</v>
      </c>
    </row>
    <row r="17" spans="1:12" x14ac:dyDescent="0.3">
      <c r="A17" t="s">
        <v>154</v>
      </c>
      <c r="D17" s="37" t="s">
        <v>217</v>
      </c>
      <c r="E17" t="s">
        <v>101</v>
      </c>
      <c r="F17" t="s">
        <v>124</v>
      </c>
      <c r="G17" s="1" t="s">
        <v>239</v>
      </c>
    </row>
    <row r="18" spans="1:12" x14ac:dyDescent="0.3">
      <c r="A18" t="s">
        <v>155</v>
      </c>
      <c r="D18" s="37" t="s">
        <v>217</v>
      </c>
      <c r="E18" t="s">
        <v>101</v>
      </c>
      <c r="F18" t="s">
        <v>102</v>
      </c>
      <c r="G18" s="1" t="s">
        <v>239</v>
      </c>
      <c r="H18" s="1">
        <v>1</v>
      </c>
      <c r="I18" t="s">
        <v>156</v>
      </c>
      <c r="J18">
        <v>5</v>
      </c>
    </row>
    <row r="19" spans="1:12" x14ac:dyDescent="0.3">
      <c r="A19" t="s">
        <v>157</v>
      </c>
      <c r="C19" s="36" t="s">
        <v>221</v>
      </c>
      <c r="D19" s="37" t="s">
        <v>217</v>
      </c>
      <c r="E19" t="s">
        <v>101</v>
      </c>
      <c r="F19" t="s">
        <v>102</v>
      </c>
      <c r="G19" s="1" t="s">
        <v>239</v>
      </c>
      <c r="H19" s="1">
        <v>1</v>
      </c>
      <c r="I19" t="s">
        <v>158</v>
      </c>
      <c r="J19" t="s">
        <v>159</v>
      </c>
    </row>
    <row r="20" spans="1:12" x14ac:dyDescent="0.3">
      <c r="A20" t="s">
        <v>160</v>
      </c>
      <c r="B20" t="s">
        <v>161</v>
      </c>
      <c r="D20" s="37" t="s">
        <v>217</v>
      </c>
      <c r="E20" t="s">
        <v>101</v>
      </c>
      <c r="F20" t="s">
        <v>102</v>
      </c>
      <c r="G20" s="1" t="s">
        <v>239</v>
      </c>
      <c r="H20" s="1">
        <v>1</v>
      </c>
      <c r="I20" t="s">
        <v>162</v>
      </c>
      <c r="J20" t="s">
        <v>129</v>
      </c>
    </row>
    <row r="21" spans="1:12" x14ac:dyDescent="0.3">
      <c r="A21" t="s">
        <v>163</v>
      </c>
      <c r="B21" t="s">
        <v>164</v>
      </c>
      <c r="C21" s="36" t="s">
        <v>165</v>
      </c>
      <c r="D21" s="37" t="s">
        <v>217</v>
      </c>
      <c r="E21" t="s">
        <v>101</v>
      </c>
      <c r="F21" t="s">
        <v>102</v>
      </c>
      <c r="G21" s="1" t="s">
        <v>239</v>
      </c>
      <c r="H21" s="1">
        <v>1</v>
      </c>
      <c r="I21" t="s">
        <v>166</v>
      </c>
      <c r="J21">
        <v>3</v>
      </c>
      <c r="K21" t="s">
        <v>167</v>
      </c>
      <c r="L21">
        <v>1</v>
      </c>
    </row>
    <row r="22" spans="1:12" x14ac:dyDescent="0.3">
      <c r="A22" t="s">
        <v>168</v>
      </c>
      <c r="D22" s="37" t="s">
        <v>217</v>
      </c>
      <c r="E22" t="s">
        <v>101</v>
      </c>
      <c r="F22" t="s">
        <v>102</v>
      </c>
      <c r="G22" s="1" t="s">
        <v>239</v>
      </c>
    </row>
    <row r="23" spans="1:12" x14ac:dyDescent="0.3">
      <c r="A23" t="s">
        <v>169</v>
      </c>
      <c r="D23" s="37" t="s">
        <v>217</v>
      </c>
      <c r="E23" t="s">
        <v>101</v>
      </c>
      <c r="F23" t="s">
        <v>102</v>
      </c>
      <c r="G23" s="1" t="s">
        <v>239</v>
      </c>
      <c r="H23" s="1">
        <v>1</v>
      </c>
    </row>
    <row r="24" spans="1:12" x14ac:dyDescent="0.3">
      <c r="A24" t="s">
        <v>179</v>
      </c>
      <c r="B24" t="s">
        <v>183</v>
      </c>
      <c r="C24" s="36" t="s">
        <v>184</v>
      </c>
      <c r="D24" s="37" t="s">
        <v>217</v>
      </c>
      <c r="F24" t="s">
        <v>102</v>
      </c>
      <c r="G24" s="1" t="s">
        <v>239</v>
      </c>
      <c r="H24" s="1">
        <v>1</v>
      </c>
    </row>
    <row r="25" spans="1:12" x14ac:dyDescent="0.3">
      <c r="A25" t="s">
        <v>180</v>
      </c>
      <c r="B25" t="s">
        <v>185</v>
      </c>
      <c r="C25" s="36" t="s">
        <v>186</v>
      </c>
      <c r="D25" s="37" t="s">
        <v>217</v>
      </c>
      <c r="E25" t="s">
        <v>101</v>
      </c>
      <c r="F25" t="s">
        <v>102</v>
      </c>
      <c r="H25" s="1">
        <v>1</v>
      </c>
    </row>
    <row r="26" spans="1:12" x14ac:dyDescent="0.3">
      <c r="A26" t="s">
        <v>181</v>
      </c>
      <c r="B26" s="1" t="s">
        <v>187</v>
      </c>
      <c r="C26" s="36" t="s">
        <v>188</v>
      </c>
      <c r="D26" s="37"/>
      <c r="F26" t="s">
        <v>189</v>
      </c>
      <c r="H26" s="1">
        <v>1</v>
      </c>
    </row>
    <row r="27" spans="1:12" x14ac:dyDescent="0.3">
      <c r="A27" t="s">
        <v>182</v>
      </c>
      <c r="B27" t="s">
        <v>190</v>
      </c>
      <c r="C27" s="36" t="s">
        <v>191</v>
      </c>
      <c r="D27" s="37"/>
      <c r="F27" t="s">
        <v>102</v>
      </c>
      <c r="H27" s="1">
        <v>1</v>
      </c>
    </row>
    <row r="28" spans="1:12" x14ac:dyDescent="0.3">
      <c r="A28" t="s">
        <v>192</v>
      </c>
      <c r="C28" s="36" t="s">
        <v>193</v>
      </c>
      <c r="D28" s="37"/>
      <c r="F28" t="s">
        <v>124</v>
      </c>
      <c r="H28" s="1">
        <v>1</v>
      </c>
    </row>
    <row r="29" spans="1:12" x14ac:dyDescent="0.3">
      <c r="A29" t="s">
        <v>194</v>
      </c>
      <c r="B29" t="s">
        <v>195</v>
      </c>
      <c r="C29" s="36" t="s">
        <v>196</v>
      </c>
      <c r="D29" s="37"/>
      <c r="F29" t="s">
        <v>102</v>
      </c>
      <c r="H29" s="1">
        <v>1</v>
      </c>
    </row>
    <row r="30" spans="1:12" x14ac:dyDescent="0.3">
      <c r="A30" t="s">
        <v>197</v>
      </c>
      <c r="C30" s="36" t="s">
        <v>198</v>
      </c>
      <c r="D30" s="37" t="s">
        <v>217</v>
      </c>
      <c r="E30" t="s">
        <v>101</v>
      </c>
      <c r="F30" t="s">
        <v>124</v>
      </c>
      <c r="G30" s="1" t="s">
        <v>239</v>
      </c>
      <c r="H30" s="1">
        <v>1</v>
      </c>
    </row>
    <row r="31" spans="1:12" x14ac:dyDescent="0.3">
      <c r="A31" t="s">
        <v>199</v>
      </c>
      <c r="B31" t="s">
        <v>200</v>
      </c>
      <c r="C31" s="36" t="s">
        <v>201</v>
      </c>
      <c r="D31" s="37" t="s">
        <v>217</v>
      </c>
      <c r="E31" t="s">
        <v>101</v>
      </c>
      <c r="F31" t="s">
        <v>102</v>
      </c>
      <c r="G31" s="1" t="s">
        <v>239</v>
      </c>
      <c r="H31" s="1">
        <v>1</v>
      </c>
    </row>
    <row r="32" spans="1:12" x14ac:dyDescent="0.3">
      <c r="A32" t="s">
        <v>202</v>
      </c>
      <c r="C32" s="36" t="s">
        <v>233</v>
      </c>
      <c r="D32" s="37" t="s">
        <v>217</v>
      </c>
      <c r="E32" t="s">
        <v>101</v>
      </c>
      <c r="F32" t="s">
        <v>102</v>
      </c>
      <c r="G32" s="1" t="s">
        <v>239</v>
      </c>
      <c r="H32" s="1">
        <v>1</v>
      </c>
    </row>
    <row r="33" spans="1:11" x14ac:dyDescent="0.3">
      <c r="A33" t="s">
        <v>203</v>
      </c>
      <c r="B33" t="s">
        <v>204</v>
      </c>
      <c r="C33" s="36" t="s">
        <v>235</v>
      </c>
      <c r="D33" s="37" t="s">
        <v>217</v>
      </c>
      <c r="E33" t="s">
        <v>101</v>
      </c>
      <c r="F33" t="s">
        <v>124</v>
      </c>
      <c r="H33" s="1">
        <v>1</v>
      </c>
    </row>
    <row r="34" spans="1:11" x14ac:dyDescent="0.3">
      <c r="A34" t="s">
        <v>205</v>
      </c>
      <c r="B34" t="s">
        <v>206</v>
      </c>
      <c r="C34" s="36" t="s">
        <v>207</v>
      </c>
      <c r="D34" s="37"/>
      <c r="F34" t="s">
        <v>102</v>
      </c>
      <c r="H34" s="1">
        <v>1</v>
      </c>
    </row>
    <row r="35" spans="1:11" x14ac:dyDescent="0.3">
      <c r="A35" t="s">
        <v>208</v>
      </c>
      <c r="B35" t="s">
        <v>209</v>
      </c>
      <c r="C35" s="36" t="s">
        <v>210</v>
      </c>
      <c r="D35" s="37" t="s">
        <v>217</v>
      </c>
      <c r="E35" t="s">
        <v>101</v>
      </c>
      <c r="F35" t="s">
        <v>102</v>
      </c>
      <c r="G35" s="1" t="s">
        <v>239</v>
      </c>
      <c r="H35" s="1">
        <v>1</v>
      </c>
    </row>
    <row r="36" spans="1:11" x14ac:dyDescent="0.3">
      <c r="A36" t="s">
        <v>211</v>
      </c>
      <c r="C36" s="36" t="s">
        <v>212</v>
      </c>
      <c r="D36" s="37" t="s">
        <v>217</v>
      </c>
      <c r="E36" t="s">
        <v>101</v>
      </c>
      <c r="F36" t="s">
        <v>124</v>
      </c>
      <c r="G36" s="1" t="s">
        <v>239</v>
      </c>
      <c r="H36" s="1">
        <v>1</v>
      </c>
    </row>
    <row r="37" spans="1:11" x14ac:dyDescent="0.3">
      <c r="A37" t="s">
        <v>213</v>
      </c>
      <c r="C37" s="36" t="s">
        <v>234</v>
      </c>
      <c r="D37" s="37" t="s">
        <v>217</v>
      </c>
      <c r="E37" t="s">
        <v>101</v>
      </c>
      <c r="F37" t="s">
        <v>124</v>
      </c>
      <c r="G37" s="1" t="s">
        <v>239</v>
      </c>
      <c r="H37" s="1">
        <v>1</v>
      </c>
    </row>
    <row r="38" spans="1:11" x14ac:dyDescent="0.3">
      <c r="A38" t="s">
        <v>222</v>
      </c>
      <c r="B38" t="s">
        <v>223</v>
      </c>
      <c r="D38" s="37"/>
      <c r="E38" t="s">
        <v>224</v>
      </c>
      <c r="F38" t="s">
        <v>102</v>
      </c>
    </row>
    <row r="39" spans="1:11" x14ac:dyDescent="0.3">
      <c r="A39" t="s">
        <v>225</v>
      </c>
      <c r="B39" t="s">
        <v>226</v>
      </c>
      <c r="D39" s="37"/>
      <c r="E39" t="s">
        <v>224</v>
      </c>
      <c r="F39" t="s">
        <v>102</v>
      </c>
    </row>
    <row r="40" spans="1:11" x14ac:dyDescent="0.3">
      <c r="A40" t="s">
        <v>236</v>
      </c>
      <c r="B40" t="s">
        <v>164</v>
      </c>
      <c r="C40" s="36" t="s">
        <v>237</v>
      </c>
      <c r="D40" s="37" t="s">
        <v>217</v>
      </c>
      <c r="E40" t="s">
        <v>101</v>
      </c>
      <c r="F40" t="s">
        <v>102</v>
      </c>
      <c r="G40" s="1" t="s">
        <v>239</v>
      </c>
      <c r="I40" s="42"/>
      <c r="J40" s="43"/>
      <c r="K40" s="44"/>
    </row>
    <row r="41" spans="1:11" x14ac:dyDescent="0.3">
      <c r="A41" t="s">
        <v>246</v>
      </c>
      <c r="D41" s="37" t="s">
        <v>217</v>
      </c>
      <c r="E41" t="s">
        <v>101</v>
      </c>
      <c r="I41" s="45"/>
      <c r="J41" s="46"/>
      <c r="K41" s="47"/>
    </row>
    <row r="42" spans="1:11" x14ac:dyDescent="0.3">
      <c r="A42" t="s">
        <v>247</v>
      </c>
      <c r="B42" t="s">
        <v>248</v>
      </c>
      <c r="C42" s="36" t="s">
        <v>249</v>
      </c>
      <c r="D42" s="37" t="s">
        <v>217</v>
      </c>
      <c r="E42" t="s">
        <v>101</v>
      </c>
      <c r="F42" t="s">
        <v>124</v>
      </c>
      <c r="I42" s="45"/>
      <c r="J42" s="46"/>
      <c r="K42" s="47"/>
    </row>
    <row r="43" spans="1:11" x14ac:dyDescent="0.3">
      <c r="A43" t="s">
        <v>252</v>
      </c>
      <c r="D43" s="37" t="s">
        <v>217</v>
      </c>
      <c r="E43" t="s">
        <v>101</v>
      </c>
      <c r="I43" s="45"/>
      <c r="J43" s="46"/>
      <c r="K43" s="47"/>
    </row>
    <row r="44" spans="1:11" x14ac:dyDescent="0.3">
      <c r="A44" t="s">
        <v>259</v>
      </c>
      <c r="D44" s="37" t="s">
        <v>217</v>
      </c>
      <c r="E44" t="s">
        <v>101</v>
      </c>
      <c r="F44" t="s">
        <v>124</v>
      </c>
      <c r="I44" s="45"/>
      <c r="J44" s="46"/>
      <c r="K44" s="47"/>
    </row>
    <row r="45" spans="1:11" x14ac:dyDescent="0.3">
      <c r="A45" t="s">
        <v>260</v>
      </c>
      <c r="D45" s="37" t="s">
        <v>217</v>
      </c>
      <c r="E45" t="s">
        <v>101</v>
      </c>
      <c r="F45" t="s">
        <v>189</v>
      </c>
      <c r="I45" s="45"/>
      <c r="J45" s="46"/>
      <c r="K45" s="47"/>
    </row>
    <row r="46" spans="1:11" x14ac:dyDescent="0.3">
      <c r="A46" t="s">
        <v>261</v>
      </c>
      <c r="D46" s="37" t="s">
        <v>217</v>
      </c>
      <c r="E46" t="s">
        <v>101</v>
      </c>
      <c r="F46" t="s">
        <v>124</v>
      </c>
      <c r="I46" s="45"/>
      <c r="J46" s="46"/>
      <c r="K46" s="47"/>
    </row>
    <row r="47" spans="1:11" x14ac:dyDescent="0.3">
      <c r="A47" t="s">
        <v>267</v>
      </c>
      <c r="B47">
        <v>5308773</v>
      </c>
      <c r="D47" s="37" t="s">
        <v>217</v>
      </c>
      <c r="E47" t="s">
        <v>101</v>
      </c>
      <c r="F47" t="s">
        <v>102</v>
      </c>
      <c r="I47" s="45"/>
      <c r="J47" s="46"/>
      <c r="K47" s="47"/>
    </row>
    <row r="48" spans="1:11" x14ac:dyDescent="0.3">
      <c r="A48" t="s">
        <v>262</v>
      </c>
      <c r="D48" s="37" t="s">
        <v>217</v>
      </c>
      <c r="E48" t="s">
        <v>101</v>
      </c>
      <c r="F48" t="s">
        <v>124</v>
      </c>
      <c r="I48" s="45"/>
      <c r="J48" s="46"/>
      <c r="K48" s="47"/>
    </row>
    <row r="49" spans="1:11" x14ac:dyDescent="0.3">
      <c r="A49" t="s">
        <v>263</v>
      </c>
      <c r="B49" t="s">
        <v>264</v>
      </c>
      <c r="C49" s="36" t="s">
        <v>265</v>
      </c>
      <c r="D49" s="37" t="s">
        <v>217</v>
      </c>
      <c r="E49" t="s">
        <v>101</v>
      </c>
      <c r="F49" t="s">
        <v>102</v>
      </c>
      <c r="I49" s="45"/>
      <c r="J49" s="46"/>
      <c r="K49" s="47"/>
    </row>
    <row r="50" spans="1:11" x14ac:dyDescent="0.3">
      <c r="A50" t="s">
        <v>266</v>
      </c>
      <c r="D50" s="37" t="s">
        <v>217</v>
      </c>
      <c r="E50" t="s">
        <v>101</v>
      </c>
      <c r="I50" s="45"/>
      <c r="J50" s="46"/>
      <c r="K50" s="47"/>
    </row>
    <row r="51" spans="1:11" x14ac:dyDescent="0.3">
      <c r="A51" t="s">
        <v>268</v>
      </c>
      <c r="D51" s="37"/>
      <c r="F51" t="s">
        <v>102</v>
      </c>
      <c r="I51" s="45"/>
      <c r="J51" s="46"/>
      <c r="K51" s="47"/>
    </row>
    <row r="52" spans="1:11" x14ac:dyDescent="0.3">
      <c r="A52" t="s">
        <v>280</v>
      </c>
      <c r="C52" s="36" t="s">
        <v>281</v>
      </c>
      <c r="D52" s="37" t="s">
        <v>217</v>
      </c>
      <c r="E52" t="s">
        <v>101</v>
      </c>
      <c r="F52" t="s">
        <v>124</v>
      </c>
      <c r="I52" s="45"/>
      <c r="J52" s="46"/>
      <c r="K52" s="47"/>
    </row>
    <row r="53" spans="1:11" x14ac:dyDescent="0.3">
      <c r="A53" t="s">
        <v>282</v>
      </c>
      <c r="B53">
        <v>6694030</v>
      </c>
      <c r="C53" s="36" t="s">
        <v>283</v>
      </c>
      <c r="D53" s="37" t="s">
        <v>217</v>
      </c>
      <c r="E53" t="s">
        <v>101</v>
      </c>
      <c r="F53" t="s">
        <v>284</v>
      </c>
      <c r="I53" s="45"/>
      <c r="J53" s="46"/>
      <c r="K53" s="47"/>
    </row>
    <row r="54" spans="1:11" x14ac:dyDescent="0.3">
      <c r="A54" t="s">
        <v>287</v>
      </c>
      <c r="D54" s="37" t="s">
        <v>217</v>
      </c>
      <c r="E54" t="s">
        <v>101</v>
      </c>
      <c r="I54" s="45"/>
      <c r="J54" s="46"/>
      <c r="K54" s="47"/>
    </row>
    <row r="55" spans="1:11" x14ac:dyDescent="0.3">
      <c r="A55" t="s">
        <v>288</v>
      </c>
      <c r="D55" s="37" t="s">
        <v>217</v>
      </c>
      <c r="E55" t="s">
        <v>101</v>
      </c>
      <c r="I55" s="45"/>
      <c r="J55" s="46"/>
      <c r="K55" s="47"/>
    </row>
    <row r="56" spans="1:11" x14ac:dyDescent="0.3">
      <c r="A56" t="s">
        <v>299</v>
      </c>
      <c r="B56" t="s">
        <v>300</v>
      </c>
      <c r="C56" t="s">
        <v>301</v>
      </c>
      <c r="D56" s="36" t="s">
        <v>302</v>
      </c>
      <c r="I56" s="45"/>
      <c r="J56" s="46"/>
      <c r="K56" s="47"/>
    </row>
    <row r="57" spans="1:11" x14ac:dyDescent="0.3">
      <c r="I57" s="48"/>
      <c r="J57" s="49"/>
      <c r="K57" s="50"/>
    </row>
  </sheetData>
  <autoFilter ref="A1:L53"/>
  <hyperlinks>
    <hyperlink ref="C2" r:id="rId2"/>
    <hyperlink ref="C3" r:id="rId3"/>
    <hyperlink ref="C4" r:id="rId4"/>
    <hyperlink ref="C5" r:id="rId5"/>
    <hyperlink ref="C6" r:id="rId6"/>
    <hyperlink ref="C7" r:id="rId7"/>
    <hyperlink ref="C8" r:id="rId8"/>
    <hyperlink ref="C9" r:id="rId9"/>
    <hyperlink ref="C10" r:id="rId10"/>
    <hyperlink ref="C12" r:id="rId11"/>
    <hyperlink ref="C13" r:id="rId12"/>
    <hyperlink ref="C14" r:id="rId13"/>
    <hyperlink ref="C15" r:id="rId14"/>
    <hyperlink ref="C16" r:id="rId15"/>
    <hyperlink ref="C21" r:id="rId16"/>
    <hyperlink ref="C24" r:id="rId17"/>
    <hyperlink ref="C25" r:id="rId18"/>
    <hyperlink ref="C26" r:id="rId19"/>
    <hyperlink ref="C27" r:id="rId20"/>
    <hyperlink ref="C28" r:id="rId21"/>
    <hyperlink ref="C29" r:id="rId22"/>
    <hyperlink ref="C30" r:id="rId23"/>
    <hyperlink ref="C31" r:id="rId24"/>
    <hyperlink ref="C32" r:id="rId25"/>
    <hyperlink ref="C34" r:id="rId26"/>
    <hyperlink ref="C35" r:id="rId27"/>
    <hyperlink ref="C36" r:id="rId28"/>
    <hyperlink ref="C19" r:id="rId29"/>
    <hyperlink ref="C37" r:id="rId30"/>
    <hyperlink ref="C33" r:id="rId31"/>
    <hyperlink ref="C40" r:id="rId32"/>
    <hyperlink ref="C42" r:id="rId33"/>
    <hyperlink ref="C49" r:id="rId34"/>
    <hyperlink ref="C52" r:id="rId35"/>
    <hyperlink ref="C53" r:id="rId36"/>
    <hyperlink ref="D56" r:id="rId37"/>
  </hyperlinks>
  <pageMargins left="0.7" right="0.7" top="0.75" bottom="0.75" header="0.3" footer="0.3"/>
  <pageSetup orientation="portrait" r:id="rId38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C8" sqref="C8"/>
    </sheetView>
  </sheetViews>
  <sheetFormatPr defaultRowHeight="14.4" x14ac:dyDescent="0.3"/>
  <cols>
    <col min="1" max="1" width="18.5546875" customWidth="1"/>
    <col min="3" max="3" width="15.5546875" customWidth="1"/>
  </cols>
  <sheetData>
    <row r="1" spans="1:4" x14ac:dyDescent="0.3">
      <c r="A1" t="s">
        <v>269</v>
      </c>
      <c r="B1" t="s">
        <v>270</v>
      </c>
      <c r="C1" t="s">
        <v>94</v>
      </c>
      <c r="D1" t="s">
        <v>271</v>
      </c>
    </row>
    <row r="2" spans="1:4" x14ac:dyDescent="0.3">
      <c r="A2" t="s">
        <v>272</v>
      </c>
      <c r="B2" s="59">
        <v>7.89</v>
      </c>
      <c r="C2" t="s">
        <v>273</v>
      </c>
      <c r="D2" t="s">
        <v>274</v>
      </c>
    </row>
    <row r="3" spans="1:4" x14ac:dyDescent="0.3">
      <c r="A3" t="s">
        <v>275</v>
      </c>
      <c r="B3" s="59">
        <v>9.99</v>
      </c>
      <c r="C3" s="1" t="s">
        <v>273</v>
      </c>
      <c r="D3" s="1" t="s">
        <v>274</v>
      </c>
    </row>
    <row r="4" spans="1:4" x14ac:dyDescent="0.3">
      <c r="A4" t="s">
        <v>276</v>
      </c>
      <c r="B4" s="59">
        <v>38</v>
      </c>
      <c r="C4" t="s">
        <v>277</v>
      </c>
      <c r="D4" t="s">
        <v>278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21" workbookViewId="0">
      <selection activeCell="A41" sqref="A41:B47"/>
    </sheetView>
  </sheetViews>
  <sheetFormatPr defaultRowHeight="14.4" x14ac:dyDescent="0.3"/>
  <cols>
    <col min="1" max="1" width="21.44140625" customWidth="1"/>
    <col min="2" max="2" width="10.109375" bestFit="1" customWidth="1"/>
  </cols>
  <sheetData>
    <row r="1" spans="1:2" x14ac:dyDescent="0.3">
      <c r="A1" t="s">
        <v>292</v>
      </c>
      <c r="B1" t="s">
        <v>294</v>
      </c>
    </row>
    <row r="2" spans="1:2" x14ac:dyDescent="0.3">
      <c r="A2" t="s">
        <v>17</v>
      </c>
      <c r="B2" s="59">
        <v>400</v>
      </c>
    </row>
    <row r="3" spans="1:2" x14ac:dyDescent="0.3">
      <c r="A3" t="s">
        <v>18</v>
      </c>
      <c r="B3" s="59">
        <v>6000</v>
      </c>
    </row>
    <row r="4" spans="1:2" x14ac:dyDescent="0.3">
      <c r="A4" t="s">
        <v>1</v>
      </c>
      <c r="B4" s="59">
        <v>1500</v>
      </c>
    </row>
    <row r="5" spans="1:2" x14ac:dyDescent="0.3">
      <c r="A5" t="s">
        <v>75</v>
      </c>
      <c r="B5" s="59">
        <v>100</v>
      </c>
    </row>
    <row r="6" spans="1:2" x14ac:dyDescent="0.3">
      <c r="A6" t="s">
        <v>19</v>
      </c>
      <c r="B6" s="59">
        <v>0</v>
      </c>
    </row>
    <row r="7" spans="1:2" x14ac:dyDescent="0.3">
      <c r="A7" t="s">
        <v>293</v>
      </c>
      <c r="B7" s="59">
        <v>1500</v>
      </c>
    </row>
    <row r="8" spans="1:2" x14ac:dyDescent="0.3">
      <c r="A8" t="s">
        <v>0</v>
      </c>
      <c r="B8" s="59">
        <v>0</v>
      </c>
    </row>
    <row r="11" spans="1:2" x14ac:dyDescent="0.3">
      <c r="A11" s="1" t="s">
        <v>292</v>
      </c>
      <c r="B11" s="1" t="s">
        <v>295</v>
      </c>
    </row>
    <row r="12" spans="1:2" x14ac:dyDescent="0.3">
      <c r="A12" s="1" t="s">
        <v>17</v>
      </c>
      <c r="B12" s="59">
        <v>460</v>
      </c>
    </row>
    <row r="13" spans="1:2" x14ac:dyDescent="0.3">
      <c r="A13" s="1" t="s">
        <v>18</v>
      </c>
      <c r="B13" s="59">
        <v>6875.47</v>
      </c>
    </row>
    <row r="14" spans="1:2" x14ac:dyDescent="0.3">
      <c r="A14" s="1" t="s">
        <v>1</v>
      </c>
      <c r="B14" s="59">
        <f>1500+672</f>
        <v>2172</v>
      </c>
    </row>
    <row r="15" spans="1:2" x14ac:dyDescent="0.3">
      <c r="A15" s="1" t="s">
        <v>75</v>
      </c>
      <c r="B15" s="59">
        <v>0</v>
      </c>
    </row>
    <row r="16" spans="1:2" x14ac:dyDescent="0.3">
      <c r="A16" s="1" t="s">
        <v>19</v>
      </c>
      <c r="B16" s="59">
        <v>0</v>
      </c>
    </row>
    <row r="17" spans="1:2" x14ac:dyDescent="0.3">
      <c r="A17" s="1" t="s">
        <v>293</v>
      </c>
      <c r="B17" s="59">
        <v>0</v>
      </c>
    </row>
    <row r="18" spans="1:2" x14ac:dyDescent="0.3">
      <c r="A18" s="1" t="s">
        <v>0</v>
      </c>
      <c r="B18" s="59">
        <v>1231</v>
      </c>
    </row>
    <row r="33" spans="1:2" x14ac:dyDescent="0.3">
      <c r="A33" t="s">
        <v>296</v>
      </c>
      <c r="B33" t="s">
        <v>294</v>
      </c>
    </row>
    <row r="34" spans="1:2" x14ac:dyDescent="0.3">
      <c r="A34" t="s">
        <v>297</v>
      </c>
      <c r="B34" s="59">
        <v>3710</v>
      </c>
    </row>
    <row r="35" spans="1:2" x14ac:dyDescent="0.3">
      <c r="A35" t="s">
        <v>231</v>
      </c>
      <c r="B35" s="59">
        <v>800</v>
      </c>
    </row>
    <row r="36" spans="1:2" x14ac:dyDescent="0.3">
      <c r="A36" t="s">
        <v>37</v>
      </c>
      <c r="B36" s="59">
        <f>50+(5*150)</f>
        <v>800</v>
      </c>
    </row>
    <row r="37" spans="1:2" x14ac:dyDescent="0.3">
      <c r="A37" t="s">
        <v>298</v>
      </c>
      <c r="B37" s="59">
        <v>2500</v>
      </c>
    </row>
    <row r="38" spans="1:2" x14ac:dyDescent="0.3">
      <c r="A38" t="s">
        <v>38</v>
      </c>
      <c r="B38" s="59">
        <v>175</v>
      </c>
    </row>
    <row r="39" spans="1:2" x14ac:dyDescent="0.3">
      <c r="A39" t="s">
        <v>35</v>
      </c>
      <c r="B39" s="59">
        <f>100+180+160+235+300+270+20</f>
        <v>1265</v>
      </c>
    </row>
    <row r="41" spans="1:2" x14ac:dyDescent="0.3">
      <c r="A41" t="s">
        <v>296</v>
      </c>
      <c r="B41" t="s">
        <v>295</v>
      </c>
    </row>
    <row r="42" spans="1:2" x14ac:dyDescent="0.3">
      <c r="A42" s="1" t="s">
        <v>297</v>
      </c>
      <c r="B42" s="59">
        <v>2190.37</v>
      </c>
    </row>
    <row r="43" spans="1:2" x14ac:dyDescent="0.3">
      <c r="A43" s="1" t="s">
        <v>231</v>
      </c>
      <c r="B43" s="59">
        <v>715.02</v>
      </c>
    </row>
    <row r="44" spans="1:2" x14ac:dyDescent="0.3">
      <c r="A44" s="1" t="s">
        <v>37</v>
      </c>
      <c r="B44" s="59">
        <f>178+100+23.8+150</f>
        <v>451.8</v>
      </c>
    </row>
    <row r="45" spans="1:2" x14ac:dyDescent="0.3">
      <c r="A45" s="1" t="s">
        <v>298</v>
      </c>
      <c r="B45" s="59">
        <v>1809.53</v>
      </c>
    </row>
    <row r="46" spans="1:2" x14ac:dyDescent="0.3">
      <c r="A46" s="1" t="s">
        <v>38</v>
      </c>
      <c r="B46" s="59">
        <v>21</v>
      </c>
    </row>
    <row r="47" spans="1:2" x14ac:dyDescent="0.3">
      <c r="A47" s="1" t="s">
        <v>35</v>
      </c>
      <c r="B47" s="59">
        <f>7.45+140+100+255+170+12.62+280</f>
        <v>965.07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56"/>
  <sheetViews>
    <sheetView workbookViewId="0">
      <pane xSplit="1" ySplit="1" topLeftCell="B4" activePane="bottomRight" state="frozen"/>
      <selection pane="topRight" activeCell="B1" sqref="B1"/>
      <selection pane="bottomLeft" activeCell="A2" sqref="A2"/>
      <selection pane="bottomRight" activeCell="A4" sqref="A4:C35"/>
    </sheetView>
  </sheetViews>
  <sheetFormatPr defaultRowHeight="14.4" x14ac:dyDescent="0.3"/>
  <cols>
    <col min="1" max="1" width="15.33203125" customWidth="1"/>
    <col min="2" max="2" width="15.33203125" style="1" customWidth="1"/>
    <col min="3" max="3" width="26" style="1" customWidth="1"/>
  </cols>
  <sheetData>
    <row r="1" spans="1:17" x14ac:dyDescent="0.3">
      <c r="A1" t="s">
        <v>90</v>
      </c>
      <c r="B1" s="1" t="s">
        <v>218</v>
      </c>
      <c r="C1" s="1" t="s">
        <v>219</v>
      </c>
      <c r="D1" t="s">
        <v>170</v>
      </c>
      <c r="E1" t="s">
        <v>18</v>
      </c>
      <c r="F1" t="s">
        <v>171</v>
      </c>
      <c r="G1" t="s">
        <v>172</v>
      </c>
      <c r="H1" t="s">
        <v>173</v>
      </c>
      <c r="I1" t="s">
        <v>43</v>
      </c>
      <c r="J1" t="s">
        <v>174</v>
      </c>
      <c r="K1" t="s">
        <v>40</v>
      </c>
      <c r="L1" t="s">
        <v>19</v>
      </c>
      <c r="M1" t="s">
        <v>31</v>
      </c>
      <c r="N1" t="s">
        <v>175</v>
      </c>
      <c r="O1" t="s">
        <v>176</v>
      </c>
      <c r="P1" t="s">
        <v>177</v>
      </c>
      <c r="Q1" t="s">
        <v>178</v>
      </c>
    </row>
    <row r="2" spans="1:17" hidden="1" x14ac:dyDescent="0.3">
      <c r="A2" t="str">
        <f>'Members 2014-2015'!A2</f>
        <v>Shanise Dickson</v>
      </c>
      <c r="B2" s="1" t="str">
        <f>'Members 2014-2015'!B2</f>
        <v>518 818 0468</v>
      </c>
      <c r="C2" s="1" t="str">
        <f>'Members 2014-2015'!C2</f>
        <v>shades8779@gmail.com</v>
      </c>
    </row>
    <row r="3" spans="1:17" hidden="1" x14ac:dyDescent="0.3">
      <c r="A3" s="1" t="str">
        <f>'Members 2014-2015'!A3</f>
        <v>Khalid Elnagar</v>
      </c>
      <c r="B3" s="1" t="str">
        <f>'Members 2014-2015'!B3</f>
        <v>718 200 1347</v>
      </c>
      <c r="C3" s="1" t="str">
        <f>'Members 2014-2015'!C3</f>
        <v>kelnagar@hotmail.com</v>
      </c>
    </row>
    <row r="4" spans="1:17" x14ac:dyDescent="0.3">
      <c r="A4" s="1" t="str">
        <f>'Members 2014-2015'!A4</f>
        <v>Tanya Stevens</v>
      </c>
      <c r="B4" s="1" t="str">
        <f>'Members 2014-2015'!B4</f>
        <v>518 527 1213</v>
      </c>
      <c r="C4" s="1" t="str">
        <f>'Members 2014-2015'!C4</f>
        <v>tanilee2003@yahoo.com</v>
      </c>
      <c r="F4" t="s">
        <v>214</v>
      </c>
      <c r="H4" t="s">
        <v>214</v>
      </c>
      <c r="I4" t="s">
        <v>214</v>
      </c>
      <c r="J4" t="s">
        <v>214</v>
      </c>
    </row>
    <row r="5" spans="1:17" x14ac:dyDescent="0.3">
      <c r="A5" s="1" t="str">
        <f>'Members 2014-2015'!A5</f>
        <v>Jen Hulett</v>
      </c>
      <c r="B5" s="1" t="str">
        <f>'Members 2014-2015'!B5</f>
        <v>518 727 5408</v>
      </c>
      <c r="C5" s="1" t="str">
        <f>'Members 2014-2015'!C5</f>
        <v>mad.hatters.wife@gmail.com</v>
      </c>
      <c r="I5" t="s">
        <v>214</v>
      </c>
      <c r="M5" t="s">
        <v>214</v>
      </c>
    </row>
    <row r="6" spans="1:17" x14ac:dyDescent="0.3">
      <c r="A6" s="1" t="str">
        <f>'Members 2014-2015'!A6</f>
        <v>Matt Hulett</v>
      </c>
      <c r="B6" s="1" t="str">
        <f>'Members 2014-2015'!B6</f>
        <v>519 727 5408</v>
      </c>
      <c r="C6" s="1" t="str">
        <f>'Members 2014-2015'!C6</f>
        <v>youk1968@gmail.com</v>
      </c>
      <c r="I6" t="s">
        <v>214</v>
      </c>
      <c r="M6" t="s">
        <v>214</v>
      </c>
    </row>
    <row r="7" spans="1:17" hidden="1" x14ac:dyDescent="0.3">
      <c r="A7" s="1" t="str">
        <f>'Members 2014-2015'!A7</f>
        <v>Megan Cocci</v>
      </c>
      <c r="B7" s="1" t="str">
        <f>'Members 2014-2015'!B7</f>
        <v>518 475 6875</v>
      </c>
      <c r="C7" s="1" t="str">
        <f>'Members 2014-2015'!C7</f>
        <v>mcocci@albany.k12.ny.us</v>
      </c>
    </row>
    <row r="8" spans="1:17" x14ac:dyDescent="0.3">
      <c r="A8" s="1" t="str">
        <f>'Members 2014-2015'!A8</f>
        <v>Holly Roberts</v>
      </c>
      <c r="B8" s="1" t="str">
        <f>'Members 2014-2015'!B8</f>
        <v>518 542 7047</v>
      </c>
      <c r="C8" s="1" t="str">
        <f>'Members 2014-2015'!C8</f>
        <v>wegenworth@aol.com</v>
      </c>
      <c r="E8" t="s">
        <v>214</v>
      </c>
      <c r="F8" t="s">
        <v>214</v>
      </c>
      <c r="H8" t="s">
        <v>214</v>
      </c>
      <c r="I8" t="s">
        <v>214</v>
      </c>
      <c r="K8" t="s">
        <v>214</v>
      </c>
      <c r="M8" t="s">
        <v>214</v>
      </c>
      <c r="N8" t="s">
        <v>214</v>
      </c>
      <c r="O8" t="s">
        <v>214</v>
      </c>
      <c r="Q8" t="s">
        <v>214</v>
      </c>
    </row>
    <row r="9" spans="1:17" hidden="1" x14ac:dyDescent="0.3">
      <c r="A9" s="1" t="str">
        <f>'Members 2014-2015'!A9</f>
        <v>David Roberts</v>
      </c>
      <c r="B9" s="1" t="str">
        <f>'Members 2014-2015'!B9</f>
        <v>518 229 4315</v>
      </c>
      <c r="C9" s="1" t="str">
        <f>'Members 2014-2015'!C9</f>
        <v>drconsult@aol.com</v>
      </c>
      <c r="E9" t="s">
        <v>214</v>
      </c>
      <c r="H9" t="s">
        <v>214</v>
      </c>
      <c r="M9" t="s">
        <v>214</v>
      </c>
      <c r="P9" t="s">
        <v>214</v>
      </c>
    </row>
    <row r="10" spans="1:17" x14ac:dyDescent="0.3">
      <c r="A10" s="1" t="str">
        <f>'Members 2014-2015'!A10</f>
        <v>Emily Shoop</v>
      </c>
      <c r="B10" s="1" t="str">
        <f>'Members 2014-2015'!B10</f>
        <v>518 488 7833</v>
      </c>
      <c r="C10" s="1" t="str">
        <f>'Members 2014-2015'!C10</f>
        <v>eshoop@albany.k12.ny.us</v>
      </c>
      <c r="G10" t="s">
        <v>214</v>
      </c>
      <c r="I10" t="s">
        <v>214</v>
      </c>
    </row>
    <row r="11" spans="1:17" hidden="1" x14ac:dyDescent="0.3">
      <c r="A11" s="1" t="str">
        <f>'Members 2014-2015'!A11</f>
        <v>Meg Niro</v>
      </c>
      <c r="B11" s="1" t="str">
        <f>'Members 2014-2015'!B11</f>
        <v>518 438 9284</v>
      </c>
      <c r="C11" s="1">
        <f>'Members 2014-2015'!C11</f>
        <v>0</v>
      </c>
    </row>
    <row r="12" spans="1:17" hidden="1" x14ac:dyDescent="0.3">
      <c r="A12" s="1" t="str">
        <f>'Members 2014-2015'!A13</f>
        <v>Elvige Baynes</v>
      </c>
      <c r="B12" s="1" t="str">
        <f>'Members 2014-2015'!B13</f>
        <v>518 421 3289</v>
      </c>
      <c r="C12" s="1" t="str">
        <f>'Members 2014-2015'!C13</f>
        <v>kouemoelvige@yahoo.fr</v>
      </c>
    </row>
    <row r="13" spans="1:17" hidden="1" x14ac:dyDescent="0.3">
      <c r="A13" s="1" t="str">
        <f>'Members 2014-2015'!A14</f>
        <v>Danielle Sinkevich</v>
      </c>
      <c r="B13" s="1" t="str">
        <f>'Members 2014-2015'!B14</f>
        <v>518 301 5045</v>
      </c>
      <c r="C13" s="1" t="str">
        <f>'Members 2014-2015'!C14</f>
        <v>dsink03@gmail.com</v>
      </c>
      <c r="P13" t="s">
        <v>214</v>
      </c>
    </row>
    <row r="14" spans="1:17" hidden="1" x14ac:dyDescent="0.3">
      <c r="A14" s="1" t="str">
        <f>'Members 2014-2015'!A15</f>
        <v>Nick Sinkevich</v>
      </c>
      <c r="B14" s="1" t="str">
        <f>'Members 2014-2015'!B15</f>
        <v>518 301 4795</v>
      </c>
      <c r="C14" s="1" t="str">
        <f>'Members 2014-2015'!C15</f>
        <v>nsinke0@aol.com</v>
      </c>
      <c r="P14" t="s">
        <v>214</v>
      </c>
    </row>
    <row r="15" spans="1:17" hidden="1" x14ac:dyDescent="0.3">
      <c r="A15" s="1" t="str">
        <f>'Members 2014-2015'!A16</f>
        <v>Nichole Katz</v>
      </c>
      <c r="B15" s="1" t="str">
        <f>'Members 2014-2015'!B16</f>
        <v>518 222 1179</v>
      </c>
      <c r="C15" s="1" t="str">
        <f>'Members 2014-2015'!C16</f>
        <v>nicholekatz@gmail.com</v>
      </c>
      <c r="D15" t="s">
        <v>214</v>
      </c>
      <c r="E15" t="s">
        <v>214</v>
      </c>
      <c r="F15" t="s">
        <v>214</v>
      </c>
    </row>
    <row r="16" spans="1:17" hidden="1" x14ac:dyDescent="0.3">
      <c r="A16" s="1" t="str">
        <f>'Members 2014-2015'!A17</f>
        <v>Michele Corlew</v>
      </c>
      <c r="B16" s="1">
        <f>'Members 2014-2015'!B17</f>
        <v>0</v>
      </c>
      <c r="C16" s="1">
        <f>'Members 2014-2015'!C17</f>
        <v>0</v>
      </c>
    </row>
    <row r="17" spans="1:17" x14ac:dyDescent="0.3">
      <c r="A17" s="1" t="str">
        <f>'Members 2014-2015'!A18</f>
        <v>Andy Otoole</v>
      </c>
      <c r="B17" s="1">
        <f>'Members 2014-2015'!B18</f>
        <v>0</v>
      </c>
      <c r="C17" s="1">
        <f>'Members 2014-2015'!C18</f>
        <v>0</v>
      </c>
      <c r="D17" t="s">
        <v>214</v>
      </c>
      <c r="G17" t="s">
        <v>214</v>
      </c>
      <c r="I17" t="s">
        <v>214</v>
      </c>
      <c r="K17" t="s">
        <v>214</v>
      </c>
      <c r="L17" t="s">
        <v>214</v>
      </c>
      <c r="M17" t="s">
        <v>214</v>
      </c>
    </row>
    <row r="18" spans="1:17" hidden="1" x14ac:dyDescent="0.3">
      <c r="A18" s="1" t="str">
        <f>'Members 2014-2015'!A19</f>
        <v>Fitzroy Lewis</v>
      </c>
      <c r="B18" s="1">
        <f>'Members 2014-2015'!B19</f>
        <v>0</v>
      </c>
      <c r="C18" s="1" t="str">
        <f>'Members 2014-2015'!C19</f>
        <v>lewis.fitz@yahoo.com</v>
      </c>
      <c r="H18" t="s">
        <v>214</v>
      </c>
    </row>
    <row r="19" spans="1:17" hidden="1" x14ac:dyDescent="0.3">
      <c r="A19" s="1" t="str">
        <f>'Members 2014-2015'!A20</f>
        <v>Jonathan Mamitag</v>
      </c>
      <c r="B19" s="1" t="str">
        <f>'Members 2014-2015'!B20</f>
        <v>518 496 7610</v>
      </c>
      <c r="C19" s="1">
        <f>'Members 2014-2015'!C20</f>
        <v>0</v>
      </c>
      <c r="D19" t="s">
        <v>214</v>
      </c>
      <c r="F19" t="s">
        <v>214</v>
      </c>
      <c r="H19" t="s">
        <v>214</v>
      </c>
      <c r="K19" t="s">
        <v>214</v>
      </c>
      <c r="O19" t="s">
        <v>214</v>
      </c>
    </row>
    <row r="20" spans="1:17" x14ac:dyDescent="0.3">
      <c r="A20" s="1" t="str">
        <f>'Members 2014-2015'!A21</f>
        <v>Emily Westin</v>
      </c>
      <c r="B20" s="1" t="str">
        <f>'Members 2014-2015'!B21</f>
        <v>518 463 5211</v>
      </c>
      <c r="C20" s="1" t="str">
        <f>'Members 2014-2015'!C21</f>
        <v>leckmanwestin@gmail.com</v>
      </c>
      <c r="D20" t="s">
        <v>214</v>
      </c>
      <c r="I20" t="s">
        <v>214</v>
      </c>
      <c r="L20" t="s">
        <v>214</v>
      </c>
    </row>
    <row r="21" spans="1:17" hidden="1" x14ac:dyDescent="0.3">
      <c r="A21" s="1" t="str">
        <f>'Members 2014-2015'!A22</f>
        <v>Carrie Coddington</v>
      </c>
      <c r="B21" s="1">
        <f>'Members 2014-2015'!B22</f>
        <v>0</v>
      </c>
      <c r="C21" s="1">
        <f>'Members 2014-2015'!C22</f>
        <v>0</v>
      </c>
      <c r="E21" t="s">
        <v>214</v>
      </c>
    </row>
    <row r="22" spans="1:17" hidden="1" x14ac:dyDescent="0.3">
      <c r="A22" s="1" t="str">
        <f>'Members 2014-2015'!A23</f>
        <v>Laurie Kirchman</v>
      </c>
      <c r="B22" s="1">
        <f>'Members 2014-2015'!B23</f>
        <v>0</v>
      </c>
      <c r="C22" s="1">
        <f>'Members 2014-2015'!C23</f>
        <v>0</v>
      </c>
    </row>
    <row r="23" spans="1:17" hidden="1" x14ac:dyDescent="0.3">
      <c r="A23" s="1" t="str">
        <f>'Members 2014-2015'!A24</f>
        <v>Kristen Eck</v>
      </c>
      <c r="B23" s="1" t="str">
        <f>'Members 2014-2015'!B24</f>
        <v>518 322 5756</v>
      </c>
      <c r="C23" s="1" t="str">
        <f>'Members 2014-2015'!C24</f>
        <v>kris5512@aol.com</v>
      </c>
      <c r="E23" t="s">
        <v>214</v>
      </c>
      <c r="F23" t="s">
        <v>214</v>
      </c>
      <c r="M23" t="s">
        <v>214</v>
      </c>
    </row>
    <row r="24" spans="1:17" x14ac:dyDescent="0.3">
      <c r="A24" s="1" t="str">
        <f>'Members 2014-2015'!A25</f>
        <v>Eric Bulson</v>
      </c>
      <c r="B24" s="1" t="str">
        <f>'Members 2014-2015'!B25</f>
        <v>315 725 6003</v>
      </c>
      <c r="C24" s="1" t="str">
        <f>'Members 2014-2015'!C25</f>
        <v>ebulson2001@yahoo.com</v>
      </c>
      <c r="F24" t="s">
        <v>214</v>
      </c>
      <c r="H24" t="s">
        <v>214</v>
      </c>
      <c r="I24" t="s">
        <v>214</v>
      </c>
      <c r="J24" t="s">
        <v>214</v>
      </c>
      <c r="K24" t="s">
        <v>214</v>
      </c>
      <c r="M24" t="s">
        <v>214</v>
      </c>
      <c r="Q24" t="s">
        <v>214</v>
      </c>
    </row>
    <row r="25" spans="1:17" hidden="1" x14ac:dyDescent="0.3">
      <c r="A25" s="1" t="str">
        <f>'Members 2014-2015'!A26</f>
        <v>Judy Stevens</v>
      </c>
      <c r="B25" s="1" t="str">
        <f>'Members 2014-2015'!B26</f>
        <v>517 813 4683</v>
      </c>
      <c r="C25" s="1" t="str">
        <f>'Members 2014-2015'!C26</f>
        <v>bammy65@gmail.com</v>
      </c>
      <c r="F25" t="s">
        <v>214</v>
      </c>
      <c r="J25" t="s">
        <v>214</v>
      </c>
      <c r="M25" t="s">
        <v>214</v>
      </c>
      <c r="P25" t="s">
        <v>214</v>
      </c>
    </row>
    <row r="26" spans="1:17" hidden="1" x14ac:dyDescent="0.3">
      <c r="A26" s="1" t="str">
        <f>'Members 2014-2015'!A27</f>
        <v>Royman Tabanao</v>
      </c>
      <c r="B26" s="1" t="str">
        <f>'Members 2014-2015'!B27</f>
        <v>518 291 3586</v>
      </c>
      <c r="C26" s="1" t="str">
        <f>'Members 2014-2015'!C27</f>
        <v>richristabanao@yahoo.com</v>
      </c>
      <c r="F26" t="s">
        <v>214</v>
      </c>
      <c r="H26" t="s">
        <v>214</v>
      </c>
      <c r="K26" t="s">
        <v>214</v>
      </c>
    </row>
    <row r="27" spans="1:17" hidden="1" x14ac:dyDescent="0.3">
      <c r="A27" s="1" t="str">
        <f>'Members 2014-2015'!A28</f>
        <v>Maria Torres</v>
      </c>
      <c r="B27" s="1">
        <f>'Members 2014-2015'!B28</f>
        <v>0</v>
      </c>
      <c r="C27" s="1" t="str">
        <f>'Members 2014-2015'!C28</f>
        <v>mtorres@albany.k12.ny.us</v>
      </c>
      <c r="F27" t="s">
        <v>214</v>
      </c>
      <c r="K27" t="s">
        <v>214</v>
      </c>
    </row>
    <row r="28" spans="1:17" hidden="1" x14ac:dyDescent="0.3">
      <c r="A28" s="1" t="str">
        <f>'Members 2014-2015'!A29</f>
        <v>Melissa Tapia</v>
      </c>
      <c r="B28" s="1" t="str">
        <f>'Members 2014-2015'!B29</f>
        <v>518 466 6630</v>
      </c>
      <c r="C28" s="1" t="str">
        <f>'Members 2014-2015'!C29</f>
        <v>missyfit25@msn.com</v>
      </c>
      <c r="D28" t="s">
        <v>214</v>
      </c>
      <c r="F28" t="s">
        <v>214</v>
      </c>
      <c r="J28" t="s">
        <v>214</v>
      </c>
      <c r="K28" t="s">
        <v>214</v>
      </c>
      <c r="M28" t="s">
        <v>214</v>
      </c>
    </row>
    <row r="29" spans="1:17" hidden="1" x14ac:dyDescent="0.3">
      <c r="A29" s="1" t="str">
        <f>'Members 2014-2015'!A30</f>
        <v>Steve Costello</v>
      </c>
      <c r="B29" s="1">
        <f>'Members 2014-2015'!B30</f>
        <v>0</v>
      </c>
      <c r="C29" s="1" t="str">
        <f>'Members 2014-2015'!C30</f>
        <v>costellolearninglab@gmail.com</v>
      </c>
      <c r="D29" t="s">
        <v>214</v>
      </c>
      <c r="F29" t="s">
        <v>214</v>
      </c>
    </row>
    <row r="30" spans="1:17" hidden="1" x14ac:dyDescent="0.3">
      <c r="A30" s="1" t="str">
        <f>'Members 2014-2015'!A31</f>
        <v>Demetra Vann</v>
      </c>
      <c r="B30" s="1" t="str">
        <f>'Members 2014-2015'!B31</f>
        <v>518 209 5671</v>
      </c>
      <c r="C30" s="1" t="str">
        <f>'Members 2014-2015'!C31</f>
        <v>demetravann@gmail.com</v>
      </c>
      <c r="D30" t="s">
        <v>214</v>
      </c>
      <c r="E30" t="s">
        <v>214</v>
      </c>
      <c r="F30" t="s">
        <v>214</v>
      </c>
      <c r="H30" t="s">
        <v>214</v>
      </c>
      <c r="K30" t="s">
        <v>214</v>
      </c>
    </row>
    <row r="31" spans="1:17" hidden="1" x14ac:dyDescent="0.3">
      <c r="A31" s="1" t="str">
        <f>'Members 2014-2015'!A32</f>
        <v>Jack Cornell</v>
      </c>
      <c r="B31" s="1">
        <f>'Members 2014-2015'!B32</f>
        <v>0</v>
      </c>
      <c r="C31" s="1" t="str">
        <f>'Members 2014-2015'!C32</f>
        <v>jbcornell@gmail.com</v>
      </c>
      <c r="E31" t="s">
        <v>214</v>
      </c>
      <c r="G31" t="s">
        <v>214</v>
      </c>
      <c r="H31" t="s">
        <v>214</v>
      </c>
      <c r="M31" t="s">
        <v>214</v>
      </c>
      <c r="O31" t="s">
        <v>214</v>
      </c>
      <c r="Q31" t="s">
        <v>214</v>
      </c>
    </row>
    <row r="32" spans="1:17" hidden="1" x14ac:dyDescent="0.3">
      <c r="A32" s="1" t="str">
        <f>'Members 2014-2015'!A33</f>
        <v>Bridget Knickerbocker</v>
      </c>
      <c r="B32" s="1" t="str">
        <f>'Members 2014-2015'!B33</f>
        <v>518 396 0639</v>
      </c>
      <c r="C32" s="1" t="str">
        <f>'Members 2014-2015'!C33</f>
        <v>bknickerbocker@albany.k12.ny.us</v>
      </c>
      <c r="G32" t="s">
        <v>214</v>
      </c>
    </row>
    <row r="33" spans="1:17" hidden="1" x14ac:dyDescent="0.3">
      <c r="A33" s="1" t="str">
        <f>'Members 2014-2015'!A34</f>
        <v>Ajia Cave</v>
      </c>
      <c r="B33" s="1" t="str">
        <f>'Members 2014-2015'!B34</f>
        <v>518 495 7359</v>
      </c>
      <c r="C33" s="1" t="str">
        <f>'Members 2014-2015'!C34</f>
        <v>amcave211@gmail.com</v>
      </c>
      <c r="N33" t="s">
        <v>214</v>
      </c>
    </row>
    <row r="34" spans="1:17" hidden="1" x14ac:dyDescent="0.3">
      <c r="A34" s="1" t="str">
        <f>'Members 2014-2015'!A35</f>
        <v>Joyce Cornell</v>
      </c>
      <c r="B34" s="1" t="str">
        <f>'Members 2014-2015'!B35</f>
        <v>518 928 2926</v>
      </c>
      <c r="C34" s="1" t="str">
        <f>'Members 2014-2015'!C35</f>
        <v>graceful.j@gmail.com</v>
      </c>
      <c r="K34" t="s">
        <v>214</v>
      </c>
      <c r="M34" t="s">
        <v>214</v>
      </c>
    </row>
    <row r="35" spans="1:17" x14ac:dyDescent="0.3">
      <c r="A35" s="1" t="str">
        <f>'Members 2014-2015'!A36</f>
        <v>Deb Whipple</v>
      </c>
      <c r="B35" s="1">
        <f>'Members 2014-2015'!B36</f>
        <v>0</v>
      </c>
      <c r="C35" s="1" t="str">
        <f>'Members 2014-2015'!C36</f>
        <v>dwhipple@albany.k12.ny.us</v>
      </c>
      <c r="I35" t="s">
        <v>214</v>
      </c>
      <c r="K35" t="s">
        <v>214</v>
      </c>
    </row>
    <row r="36" spans="1:17" x14ac:dyDescent="0.3">
      <c r="A36" s="1" t="s">
        <v>213</v>
      </c>
      <c r="B36" s="1">
        <f>'Members 2014-2015'!B37</f>
        <v>0</v>
      </c>
      <c r="C36" s="1" t="str">
        <f>'Members 2014-2015'!C37</f>
        <v>aflynn@albany.k12.ny.us</v>
      </c>
      <c r="H36" t="s">
        <v>214</v>
      </c>
      <c r="I36" t="s">
        <v>214</v>
      </c>
    </row>
    <row r="37" spans="1:17" s="1" customFormat="1" hidden="1" x14ac:dyDescent="0.3">
      <c r="A37" s="1" t="str">
        <f>'Members 2014-2015'!A38</f>
        <v>April Bacon</v>
      </c>
      <c r="B37" s="1" t="str">
        <f>'Members 2014-2015'!B38</f>
        <v>518 269 1476</v>
      </c>
      <c r="C37" s="1">
        <f>'Members 2014-2015'!C38</f>
        <v>0</v>
      </c>
    </row>
    <row r="38" spans="1:17" s="1" customFormat="1" hidden="1" x14ac:dyDescent="0.3">
      <c r="A38" s="1" t="str">
        <f>'Members 2014-2015'!A39</f>
        <v>Jamaris Hernandez</v>
      </c>
      <c r="B38" s="1" t="str">
        <f>'Members 2014-2015'!B39</f>
        <v>718 415 1112</v>
      </c>
      <c r="C38" s="1">
        <f>'Members 2014-2015'!C39</f>
        <v>0</v>
      </c>
    </row>
    <row r="39" spans="1:17" s="1" customFormat="1" hidden="1" x14ac:dyDescent="0.3"/>
    <row r="40" spans="1:17" s="1" customFormat="1" hidden="1" x14ac:dyDescent="0.3"/>
    <row r="41" spans="1:17" s="1" customFormat="1" hidden="1" x14ac:dyDescent="0.3"/>
    <row r="42" spans="1:17" hidden="1" x14ac:dyDescent="0.3">
      <c r="A42" s="1" t="s">
        <v>10</v>
      </c>
      <c r="D42">
        <f>COUNTA(D2:D36)</f>
        <v>7</v>
      </c>
      <c r="E42" s="1">
        <f t="shared" ref="E42:P42" si="0">COUNTA(E2:E36)</f>
        <v>7</v>
      </c>
      <c r="F42" s="1">
        <f t="shared" si="0"/>
        <v>12</v>
      </c>
      <c r="G42" s="1">
        <f t="shared" si="0"/>
        <v>4</v>
      </c>
      <c r="H42" s="1">
        <f t="shared" si="0"/>
        <v>10</v>
      </c>
      <c r="I42" s="1">
        <f t="shared" si="0"/>
        <v>10</v>
      </c>
      <c r="J42" s="1">
        <f t="shared" si="0"/>
        <v>4</v>
      </c>
      <c r="K42" s="1">
        <f t="shared" si="0"/>
        <v>10</v>
      </c>
      <c r="L42" s="1">
        <f t="shared" si="0"/>
        <v>2</v>
      </c>
      <c r="M42" s="1">
        <f t="shared" si="0"/>
        <v>11</v>
      </c>
      <c r="N42" s="1">
        <f t="shared" si="0"/>
        <v>2</v>
      </c>
      <c r="O42" s="1">
        <f t="shared" si="0"/>
        <v>3</v>
      </c>
      <c r="P42" s="1">
        <f t="shared" si="0"/>
        <v>4</v>
      </c>
      <c r="Q42" s="1">
        <f>COUNTA(Q2:Q36)</f>
        <v>3</v>
      </c>
    </row>
    <row r="43" spans="1:17" x14ac:dyDescent="0.3">
      <c r="A43" s="1"/>
    </row>
    <row r="44" spans="1:17" x14ac:dyDescent="0.3">
      <c r="A44" s="1"/>
    </row>
    <row r="45" spans="1:17" x14ac:dyDescent="0.3">
      <c r="A45" s="1"/>
    </row>
    <row r="46" spans="1:17" x14ac:dyDescent="0.3">
      <c r="A46" s="1"/>
    </row>
    <row r="47" spans="1:17" x14ac:dyDescent="0.3">
      <c r="A47" s="1"/>
    </row>
    <row r="48" spans="1:17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 t="str">
        <f>'Members 2014-2015'!A50</f>
        <v>Joanne Maguire</v>
      </c>
    </row>
    <row r="55" spans="1:1" x14ac:dyDescent="0.3">
      <c r="A55" s="1" t="str">
        <f>'Members 2014-2015'!A51</f>
        <v>Hilary Showers</v>
      </c>
    </row>
    <row r="56" spans="1:1" x14ac:dyDescent="0.3">
      <c r="A56" s="1" t="str">
        <f>'Members 2014-2015'!A52</f>
        <v>Maran Person</v>
      </c>
    </row>
  </sheetData>
  <autoFilter ref="A1:Q42">
    <filterColumn colId="8">
      <filters>
        <filter val="x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43"/>
  <sheetViews>
    <sheetView topLeftCell="A19" workbookViewId="0">
      <selection activeCell="G43" sqref="G43"/>
    </sheetView>
  </sheetViews>
  <sheetFormatPr defaultRowHeight="14.4" x14ac:dyDescent="0.3"/>
  <cols>
    <col min="1" max="1" width="17.109375" customWidth="1"/>
  </cols>
  <sheetData>
    <row r="1" spans="1:11" s="1" customFormat="1" x14ac:dyDescent="0.3">
      <c r="F1" s="1" t="s">
        <v>79</v>
      </c>
      <c r="G1" s="1" t="s">
        <v>80</v>
      </c>
    </row>
    <row r="2" spans="1:11" x14ac:dyDescent="0.3">
      <c r="E2" t="s">
        <v>54</v>
      </c>
      <c r="F2">
        <v>2232</v>
      </c>
      <c r="G2" t="s">
        <v>87</v>
      </c>
      <c r="J2" t="s">
        <v>66</v>
      </c>
      <c r="K2" t="s">
        <v>71</v>
      </c>
    </row>
    <row r="3" spans="1:11" x14ac:dyDescent="0.3">
      <c r="A3" t="s">
        <v>49</v>
      </c>
      <c r="B3">
        <v>147.69999999999999</v>
      </c>
      <c r="D3" t="s">
        <v>56</v>
      </c>
      <c r="F3">
        <v>20</v>
      </c>
      <c r="G3" t="s">
        <v>71</v>
      </c>
      <c r="J3" t="s">
        <v>57</v>
      </c>
      <c r="K3" t="s">
        <v>72</v>
      </c>
    </row>
    <row r="4" spans="1:11" x14ac:dyDescent="0.3">
      <c r="B4">
        <v>3496.75</v>
      </c>
      <c r="C4">
        <v>2232</v>
      </c>
      <c r="D4">
        <f>B4-C4</f>
        <v>1264.75</v>
      </c>
      <c r="F4">
        <v>75</v>
      </c>
      <c r="G4" t="s">
        <v>72</v>
      </c>
      <c r="J4" t="s">
        <v>58</v>
      </c>
      <c r="K4" t="s">
        <v>3</v>
      </c>
    </row>
    <row r="5" spans="1:11" x14ac:dyDescent="0.3">
      <c r="B5">
        <v>2403</v>
      </c>
      <c r="C5">
        <v>1610.5</v>
      </c>
      <c r="D5">
        <f>B5-C5</f>
        <v>792.5</v>
      </c>
      <c r="F5">
        <v>1440.6</v>
      </c>
      <c r="G5" t="s">
        <v>87</v>
      </c>
      <c r="J5" t="s">
        <v>62</v>
      </c>
      <c r="K5" t="s">
        <v>73</v>
      </c>
    </row>
    <row r="6" spans="1:11" x14ac:dyDescent="0.3">
      <c r="B6">
        <v>29.38</v>
      </c>
      <c r="F6">
        <v>1610.5</v>
      </c>
      <c r="G6" t="s">
        <v>87</v>
      </c>
      <c r="J6" t="s">
        <v>61</v>
      </c>
      <c r="K6" t="s">
        <v>74</v>
      </c>
    </row>
    <row r="7" spans="1:11" x14ac:dyDescent="0.3">
      <c r="B7">
        <v>2620</v>
      </c>
      <c r="C7">
        <v>1440.6</v>
      </c>
      <c r="D7">
        <f>B7-C7</f>
        <v>1179.4000000000001</v>
      </c>
      <c r="F7">
        <v>85</v>
      </c>
      <c r="G7" t="s">
        <v>71</v>
      </c>
      <c r="J7" t="s">
        <v>59</v>
      </c>
      <c r="K7" t="s">
        <v>19</v>
      </c>
    </row>
    <row r="8" spans="1:11" x14ac:dyDescent="0.3">
      <c r="B8">
        <v>1</v>
      </c>
      <c r="F8">
        <v>75</v>
      </c>
      <c r="G8" t="s">
        <v>72</v>
      </c>
      <c r="J8" t="s">
        <v>65</v>
      </c>
      <c r="K8" t="s">
        <v>34</v>
      </c>
    </row>
    <row r="9" spans="1:11" x14ac:dyDescent="0.3">
      <c r="F9">
        <v>8.75</v>
      </c>
      <c r="G9" t="s">
        <v>3</v>
      </c>
      <c r="J9" t="s">
        <v>70</v>
      </c>
      <c r="K9" t="s">
        <v>51</v>
      </c>
    </row>
    <row r="10" spans="1:11" x14ac:dyDescent="0.3">
      <c r="B10">
        <v>100</v>
      </c>
      <c r="F10">
        <v>30</v>
      </c>
      <c r="G10" t="s">
        <v>71</v>
      </c>
      <c r="J10" t="s">
        <v>69</v>
      </c>
      <c r="K10" t="s">
        <v>75</v>
      </c>
    </row>
    <row r="11" spans="1:11" x14ac:dyDescent="0.3">
      <c r="A11" t="s">
        <v>50</v>
      </c>
      <c r="B11">
        <v>10</v>
      </c>
      <c r="F11">
        <v>75</v>
      </c>
      <c r="G11" t="s">
        <v>72</v>
      </c>
    </row>
    <row r="12" spans="1:11" x14ac:dyDescent="0.3">
      <c r="A12" t="s">
        <v>78</v>
      </c>
      <c r="B12">
        <v>980</v>
      </c>
      <c r="C12">
        <v>490</v>
      </c>
      <c r="D12">
        <f>B12-C12</f>
        <v>490</v>
      </c>
      <c r="F12">
        <v>68.040000000000006</v>
      </c>
      <c r="G12" t="s">
        <v>68</v>
      </c>
    </row>
    <row r="13" spans="1:11" x14ac:dyDescent="0.3">
      <c r="B13">
        <v>259.8</v>
      </c>
      <c r="F13">
        <v>25</v>
      </c>
      <c r="G13" t="s">
        <v>71</v>
      </c>
    </row>
    <row r="14" spans="1:11" x14ac:dyDescent="0.3">
      <c r="A14" t="s">
        <v>76</v>
      </c>
      <c r="B14">
        <v>274.5</v>
      </c>
      <c r="F14">
        <v>35</v>
      </c>
      <c r="G14" t="s">
        <v>68</v>
      </c>
    </row>
    <row r="15" spans="1:11" x14ac:dyDescent="0.3">
      <c r="B15">
        <v>550</v>
      </c>
      <c r="C15">
        <v>550</v>
      </c>
      <c r="D15">
        <v>0</v>
      </c>
      <c r="F15">
        <v>625.5</v>
      </c>
      <c r="G15" t="s">
        <v>88</v>
      </c>
    </row>
    <row r="16" spans="1:11" x14ac:dyDescent="0.3">
      <c r="B16">
        <v>750</v>
      </c>
      <c r="C16">
        <v>750</v>
      </c>
      <c r="D16">
        <v>0</v>
      </c>
      <c r="F16">
        <v>70</v>
      </c>
      <c r="G16" t="s">
        <v>72</v>
      </c>
    </row>
    <row r="17" spans="1:7" s="1" customFormat="1" x14ac:dyDescent="0.3">
      <c r="A17" s="1" t="s">
        <v>77</v>
      </c>
      <c r="B17" s="1">
        <v>160.57</v>
      </c>
      <c r="F17" s="1">
        <v>70</v>
      </c>
      <c r="G17" s="1" t="s">
        <v>72</v>
      </c>
    </row>
    <row r="18" spans="1:7" x14ac:dyDescent="0.3">
      <c r="A18" t="s">
        <v>63</v>
      </c>
      <c r="B18">
        <f>SUM(B3:B17)</f>
        <v>11782.699999999999</v>
      </c>
      <c r="C18">
        <f>SUM(C3:C16)</f>
        <v>7073.1</v>
      </c>
      <c r="D18">
        <f>B18-C18</f>
        <v>4709.5999999999985</v>
      </c>
      <c r="F18">
        <v>70</v>
      </c>
      <c r="G18" t="s">
        <v>72</v>
      </c>
    </row>
    <row r="19" spans="1:7" x14ac:dyDescent="0.3">
      <c r="F19">
        <v>95.99</v>
      </c>
      <c r="G19" t="s">
        <v>88</v>
      </c>
    </row>
    <row r="20" spans="1:7" x14ac:dyDescent="0.3">
      <c r="F20">
        <v>235</v>
      </c>
      <c r="G20" t="s">
        <v>67</v>
      </c>
    </row>
    <row r="21" spans="1:7" x14ac:dyDescent="0.3">
      <c r="F21">
        <v>150</v>
      </c>
      <c r="G21" t="s">
        <v>34</v>
      </c>
    </row>
    <row r="22" spans="1:7" s="1" customFormat="1" x14ac:dyDescent="0.3">
      <c r="F22" s="1">
        <f>200+30+80</f>
        <v>310</v>
      </c>
      <c r="G22" s="1" t="s">
        <v>34</v>
      </c>
    </row>
    <row r="23" spans="1:7" s="1" customFormat="1" x14ac:dyDescent="0.3">
      <c r="F23" s="1">
        <v>30</v>
      </c>
      <c r="G23" s="1" t="s">
        <v>85</v>
      </c>
    </row>
    <row r="24" spans="1:7" s="1" customFormat="1" x14ac:dyDescent="0.3">
      <c r="F24" s="1">
        <v>80</v>
      </c>
      <c r="G24" s="1" t="s">
        <v>84</v>
      </c>
    </row>
    <row r="25" spans="1:7" s="1" customFormat="1" x14ac:dyDescent="0.3">
      <c r="F25" s="1">
        <v>50</v>
      </c>
      <c r="G25" s="1" t="s">
        <v>71</v>
      </c>
    </row>
    <row r="26" spans="1:7" s="1" customFormat="1" x14ac:dyDescent="0.3">
      <c r="F26" s="1">
        <v>50</v>
      </c>
      <c r="G26" s="1" t="s">
        <v>40</v>
      </c>
    </row>
    <row r="27" spans="1:7" x14ac:dyDescent="0.3">
      <c r="F27">
        <v>36.57</v>
      </c>
      <c r="G27" t="s">
        <v>88</v>
      </c>
    </row>
    <row r="28" spans="1:7" x14ac:dyDescent="0.3">
      <c r="F28">
        <v>750</v>
      </c>
      <c r="G28" t="s">
        <v>89</v>
      </c>
    </row>
    <row r="29" spans="1:7" x14ac:dyDescent="0.3">
      <c r="F29">
        <v>490</v>
      </c>
      <c r="G29" t="s">
        <v>87</v>
      </c>
    </row>
    <row r="30" spans="1:7" x14ac:dyDescent="0.3">
      <c r="F30">
        <v>60</v>
      </c>
      <c r="G30" t="s">
        <v>71</v>
      </c>
    </row>
    <row r="31" spans="1:7" x14ac:dyDescent="0.3">
      <c r="F31">
        <v>75</v>
      </c>
      <c r="G31" t="s">
        <v>72</v>
      </c>
    </row>
    <row r="32" spans="1:7" x14ac:dyDescent="0.3">
      <c r="F32">
        <v>70</v>
      </c>
      <c r="G32" t="s">
        <v>72</v>
      </c>
    </row>
    <row r="33" spans="6:7" x14ac:dyDescent="0.3">
      <c r="F33">
        <v>73.989999999999995</v>
      </c>
      <c r="G33" t="s">
        <v>72</v>
      </c>
    </row>
    <row r="34" spans="6:7" x14ac:dyDescent="0.3">
      <c r="F34">
        <v>12</v>
      </c>
      <c r="G34" t="s">
        <v>68</v>
      </c>
    </row>
    <row r="35" spans="6:7" x14ac:dyDescent="0.3">
      <c r="F35">
        <v>200</v>
      </c>
      <c r="G35" t="s">
        <v>75</v>
      </c>
    </row>
    <row r="36" spans="6:7" x14ac:dyDescent="0.3">
      <c r="F36">
        <v>70</v>
      </c>
      <c r="G36" t="s">
        <v>72</v>
      </c>
    </row>
    <row r="37" spans="6:7" x14ac:dyDescent="0.3">
      <c r="F37">
        <v>70</v>
      </c>
      <c r="G37" t="s">
        <v>72</v>
      </c>
    </row>
    <row r="38" spans="6:7" x14ac:dyDescent="0.3">
      <c r="F38">
        <v>550</v>
      </c>
      <c r="G38" t="s">
        <v>89</v>
      </c>
    </row>
    <row r="39" spans="6:7" x14ac:dyDescent="0.3">
      <c r="F39">
        <v>70</v>
      </c>
      <c r="G39" t="s">
        <v>72</v>
      </c>
    </row>
    <row r="40" spans="6:7" x14ac:dyDescent="0.3">
      <c r="F40">
        <v>100</v>
      </c>
      <c r="G40" t="s">
        <v>55</v>
      </c>
    </row>
    <row r="41" spans="6:7" x14ac:dyDescent="0.3">
      <c r="F41">
        <v>300</v>
      </c>
      <c r="G41" t="s">
        <v>51</v>
      </c>
    </row>
    <row r="42" spans="6:7" x14ac:dyDescent="0.3">
      <c r="F42">
        <v>70</v>
      </c>
      <c r="G42" t="s">
        <v>72</v>
      </c>
    </row>
    <row r="43" spans="6:7" x14ac:dyDescent="0.3">
      <c r="F43">
        <f>SUM(F2:F42)</f>
        <v>10613.94</v>
      </c>
      <c r="G43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67"/>
  <sheetViews>
    <sheetView showGridLines="0" topLeftCell="A16" zoomScale="80" zoomScaleNormal="80" workbookViewId="0">
      <selection activeCell="E13" sqref="E13"/>
    </sheetView>
  </sheetViews>
  <sheetFormatPr defaultColWidth="8.6640625" defaultRowHeight="24" customHeight="1" x14ac:dyDescent="0.3"/>
  <cols>
    <col min="1" max="1" width="2.6640625" style="1" customWidth="1"/>
    <col min="2" max="2" width="38.6640625" style="1" customWidth="1"/>
    <col min="3" max="7" width="18.6640625" style="1" customWidth="1"/>
    <col min="8" max="8" width="2.6640625" style="1" customWidth="1"/>
    <col min="9" max="16384" width="8.6640625" style="1"/>
  </cols>
  <sheetData>
    <row r="1" spans="2:7" ht="58.5" customHeight="1" x14ac:dyDescent="0.85">
      <c r="B1" s="3" t="s">
        <v>12</v>
      </c>
      <c r="F1" s="10" t="s">
        <v>13</v>
      </c>
      <c r="G1" s="2" t="s">
        <v>22</v>
      </c>
    </row>
    <row r="2" spans="2:7" ht="24" customHeight="1" x14ac:dyDescent="0.85">
      <c r="B2" s="3"/>
      <c r="F2" s="10"/>
      <c r="G2" s="2"/>
    </row>
    <row r="9" spans="2:7" ht="24" customHeight="1" x14ac:dyDescent="0.35">
      <c r="B9" s="22"/>
      <c r="C9" s="18" t="s">
        <v>23</v>
      </c>
      <c r="D9" s="18" t="s">
        <v>15</v>
      </c>
      <c r="E9" s="18" t="s">
        <v>15</v>
      </c>
      <c r="F9" s="18" t="s">
        <v>15</v>
      </c>
      <c r="G9" s="18" t="s">
        <v>15</v>
      </c>
    </row>
    <row r="10" spans="2:7" ht="24" customHeight="1" x14ac:dyDescent="0.3">
      <c r="B10" s="21" t="s">
        <v>8</v>
      </c>
      <c r="C10" s="19" t="s">
        <v>4</v>
      </c>
      <c r="D10" s="19" t="s">
        <v>5</v>
      </c>
      <c r="E10" s="19" t="s">
        <v>6</v>
      </c>
      <c r="F10" s="19" t="s">
        <v>11</v>
      </c>
      <c r="G10" s="20" t="s">
        <v>7</v>
      </c>
    </row>
    <row r="11" spans="2:7" ht="24" customHeight="1" x14ac:dyDescent="0.3">
      <c r="B11" s="11" t="s">
        <v>17</v>
      </c>
      <c r="C11" s="12">
        <f>65*4</f>
        <v>260</v>
      </c>
      <c r="D11" s="12">
        <f>10*40</f>
        <v>400</v>
      </c>
      <c r="E11" s="12">
        <f>14*10</f>
        <v>140</v>
      </c>
      <c r="F11" s="12">
        <f>RevenueTable4[[#This Row],[ACTUAL]]-RevenueTable4[[#This Row],[PROPOSED]]</f>
        <v>-260</v>
      </c>
      <c r="G11" s="13">
        <f>RevenueTable4[[#This Row],[ACTUAL]]-RevenueTable4[[#This Row],[PRIOR YEAR]]</f>
        <v>-120</v>
      </c>
    </row>
    <row r="12" spans="2:7" ht="24" customHeight="1" x14ac:dyDescent="0.3">
      <c r="B12" s="11" t="s">
        <v>18</v>
      </c>
      <c r="C12" s="12"/>
      <c r="D12" s="12">
        <v>10000</v>
      </c>
      <c r="E12" s="12">
        <f>('Sums 13-14'!D18)-E18</f>
        <v>4460.0999999999985</v>
      </c>
      <c r="F12" s="12">
        <f>RevenueTable4[[#This Row],[ACTUAL]]-RevenueTable4[[#This Row],[PROPOSED]]</f>
        <v>-5539.9000000000015</v>
      </c>
      <c r="G12" s="13">
        <f>RevenueTable4[[#This Row],[ACTUAL]]-RevenueTable4[[#This Row],[PRIOR YEAR]]</f>
        <v>4460.0999999999985</v>
      </c>
    </row>
    <row r="13" spans="2:7" ht="24" customHeight="1" x14ac:dyDescent="0.3">
      <c r="B13" s="11" t="s">
        <v>1</v>
      </c>
      <c r="C13" s="12"/>
      <c r="D13" s="12"/>
      <c r="E13" s="12"/>
      <c r="F13" s="12">
        <f>RevenueTable4[[#This Row],[ACTUAL]]-RevenueTable4[[#This Row],[PROPOSED]]</f>
        <v>0</v>
      </c>
      <c r="G13" s="13">
        <f>RevenueTable4[[#This Row],[ACTUAL]]-RevenueTable4[[#This Row],[PRIOR YEAR]]</f>
        <v>0</v>
      </c>
    </row>
    <row r="14" spans="2:7" ht="24" customHeight="1" x14ac:dyDescent="0.3">
      <c r="B14" s="23" t="s">
        <v>20</v>
      </c>
      <c r="C14" s="12"/>
      <c r="D14" s="12"/>
      <c r="E14" s="12">
        <v>81.900000000000006</v>
      </c>
      <c r="F14" s="12">
        <f>RevenueTable4[[#This Row],[ACTUAL]]-RevenueTable4[[#This Row],[PROPOSED]]</f>
        <v>81.900000000000006</v>
      </c>
      <c r="G14" s="13">
        <f>RevenueTable4[[#This Row],[ACTUAL]]-RevenueTable4[[#This Row],[PRIOR YEAR]]</f>
        <v>81.900000000000006</v>
      </c>
    </row>
    <row r="15" spans="2:7" ht="24" customHeight="1" x14ac:dyDescent="0.3">
      <c r="B15" s="23" t="s">
        <v>19</v>
      </c>
      <c r="C15" s="12"/>
      <c r="D15" s="12"/>
      <c r="E15" s="12">
        <f>750+550</f>
        <v>1300</v>
      </c>
      <c r="F15" s="12">
        <f>RevenueTable4[[#This Row],[ACTUAL]]-RevenueTable4[[#This Row],[PROPOSED]]</f>
        <v>1300</v>
      </c>
      <c r="G15" s="13">
        <f>RevenueTable4[[#This Row],[ACTUAL]]-RevenueTable4[[#This Row],[PRIOR YEAR]]</f>
        <v>1300</v>
      </c>
    </row>
    <row r="16" spans="2:7" ht="24" customHeight="1" x14ac:dyDescent="0.3">
      <c r="B16" s="23" t="s">
        <v>86</v>
      </c>
      <c r="C16" s="12"/>
      <c r="D16" s="12"/>
      <c r="E16" s="12"/>
      <c r="F16" s="12">
        <f>RevenueTable4[[#This Row],[ACTUAL]]-RevenueTable4[[#This Row],[PROPOSED]]</f>
        <v>0</v>
      </c>
      <c r="G16" s="13">
        <f>RevenueTable4[[#This Row],[ACTUAL]]-RevenueTable4[[#This Row],[PRIOR YEAR]]</f>
        <v>0</v>
      </c>
    </row>
    <row r="17" spans="2:7" ht="24" customHeight="1" x14ac:dyDescent="0.3">
      <c r="B17" s="23" t="s">
        <v>21</v>
      </c>
      <c r="C17" s="12">
        <v>2000</v>
      </c>
      <c r="D17" s="12">
        <v>2000</v>
      </c>
      <c r="E17" s="12"/>
      <c r="F17" s="12">
        <f>RevenueTable4[[#This Row],[ACTUAL]]-RevenueTable4[[#This Row],[PROPOSED]]</f>
        <v>-2000</v>
      </c>
      <c r="G17" s="13">
        <f>RevenueTable4[[#This Row],[ACTUAL]]-RevenueTable4[[#This Row],[PRIOR YEAR]]</f>
        <v>-2000</v>
      </c>
    </row>
    <row r="18" spans="2:7" ht="24" customHeight="1" x14ac:dyDescent="0.3">
      <c r="B18" s="11" t="s">
        <v>256</v>
      </c>
      <c r="C18" s="12"/>
      <c r="D18" s="12"/>
      <c r="E18" s="12">
        <v>249.5</v>
      </c>
      <c r="F18" s="12">
        <f>RevenueTable4[[#This Row],[ACTUAL]]-RevenueTable4[[#This Row],[PROPOSED]]</f>
        <v>249.5</v>
      </c>
      <c r="G18" s="13">
        <f>RevenueTable4[[#This Row],[ACTUAL]]-RevenueTable4[[#This Row],[PRIOR YEAR]]</f>
        <v>249.5</v>
      </c>
    </row>
    <row r="19" spans="2:7" ht="24" customHeight="1" x14ac:dyDescent="0.3">
      <c r="B19" s="11" t="s">
        <v>0</v>
      </c>
      <c r="C19" s="12"/>
      <c r="D19" s="12"/>
      <c r="E19" s="12"/>
      <c r="F19" s="12">
        <f>RevenueTable4[[#This Row],[ACTUAL]]-RevenueTable4[[#This Row],[PROPOSED]]</f>
        <v>0</v>
      </c>
      <c r="G19" s="13">
        <f>RevenueTable4[[#This Row],[ACTUAL]]-RevenueTable4[[#This Row],[PRIOR YEAR]]</f>
        <v>0</v>
      </c>
    </row>
    <row r="20" spans="2:7" ht="24" customHeight="1" x14ac:dyDescent="0.3">
      <c r="B20" s="11" t="s">
        <v>10</v>
      </c>
      <c r="C20" s="14">
        <f>SUBTOTAL(109,RevenueTable4[PRIOR YEAR])</f>
        <v>2260</v>
      </c>
      <c r="D20" s="14">
        <f>SUBTOTAL(109,RevenueTable4[PROPOSED])</f>
        <v>12400</v>
      </c>
      <c r="E20" s="14">
        <f>SUBTOTAL(109,RevenueTable4[ACTUAL])</f>
        <v>6231.4999999999982</v>
      </c>
      <c r="F20" s="14">
        <f>SUBTOTAL(109,RevenueTable4[VARIANCE])</f>
        <v>-6168.5000000000018</v>
      </c>
      <c r="G20" s="32">
        <f>RevenueTable4[[#Totals],[ACTUAL]]-RevenueTable4[[#Totals],[PRIOR YEAR]]</f>
        <v>3971.4999999999982</v>
      </c>
    </row>
    <row r="21" spans="2:7" s="22" customFormat="1" ht="24" customHeight="1" x14ac:dyDescent="0.3">
      <c r="B21" s="72"/>
      <c r="C21" s="72"/>
      <c r="D21" s="72"/>
      <c r="E21" s="72"/>
      <c r="F21" s="72"/>
      <c r="G21" s="72"/>
    </row>
    <row r="22" spans="2:7" s="22" customFormat="1" ht="24" customHeight="1" x14ac:dyDescent="0.3">
      <c r="B22" s="15"/>
      <c r="C22" s="16"/>
      <c r="D22" s="16"/>
      <c r="E22" s="16"/>
      <c r="F22" s="16"/>
      <c r="G22" s="17"/>
    </row>
    <row r="23" spans="2:7" s="22" customFormat="1" ht="24" customHeight="1" x14ac:dyDescent="0.3">
      <c r="B23" s="15"/>
      <c r="C23" s="16"/>
      <c r="D23" s="16"/>
      <c r="E23" s="16"/>
      <c r="F23" s="16"/>
      <c r="G23" s="17"/>
    </row>
    <row r="24" spans="2:7" s="22" customFormat="1" ht="24" customHeight="1" x14ac:dyDescent="0.3">
      <c r="B24" s="15"/>
      <c r="C24" s="16"/>
      <c r="D24" s="16"/>
      <c r="E24" s="16"/>
      <c r="F24" s="16"/>
      <c r="G24" s="17"/>
    </row>
    <row r="25" spans="2:7" s="22" customFormat="1" ht="24" customHeight="1" x14ac:dyDescent="0.3">
      <c r="B25" s="15"/>
      <c r="C25" s="16"/>
      <c r="D25" s="16"/>
      <c r="E25" s="16"/>
      <c r="F25" s="16"/>
      <c r="G25" s="17"/>
    </row>
    <row r="26" spans="2:7" s="22" customFormat="1" ht="24" customHeight="1" x14ac:dyDescent="0.3">
      <c r="B26" s="73"/>
      <c r="C26" s="73"/>
      <c r="D26" s="73"/>
      <c r="E26" s="73"/>
      <c r="F26" s="73"/>
    </row>
    <row r="29" spans="2:7" ht="24" customHeight="1" x14ac:dyDescent="0.35">
      <c r="C29" s="18" t="str">
        <f>C9</f>
        <v>SY 2012-2013</v>
      </c>
      <c r="D29" s="18" t="str">
        <f>D9</f>
        <v>SY 2013-2014</v>
      </c>
      <c r="E29" s="18" t="str">
        <f>E9</f>
        <v>SY 2013-2014</v>
      </c>
      <c r="F29" s="18" t="str">
        <f>F9</f>
        <v>SY 2013-2014</v>
      </c>
      <c r="G29" s="18" t="str">
        <f>G9</f>
        <v>SY 2013-2014</v>
      </c>
    </row>
    <row r="30" spans="2:7" ht="24" customHeight="1" x14ac:dyDescent="0.3">
      <c r="B30" s="5" t="s">
        <v>9</v>
      </c>
      <c r="C30" s="19" t="s">
        <v>4</v>
      </c>
      <c r="D30" s="19" t="s">
        <v>5</v>
      </c>
      <c r="E30" s="19" t="s">
        <v>6</v>
      </c>
      <c r="F30" s="19" t="s">
        <v>11</v>
      </c>
      <c r="G30" s="20" t="s">
        <v>7</v>
      </c>
    </row>
    <row r="31" spans="2:7" ht="24" customHeight="1" x14ac:dyDescent="0.3">
      <c r="B31" s="26" t="s">
        <v>41</v>
      </c>
      <c r="C31" s="28"/>
      <c r="D31" s="28"/>
      <c r="E31" s="28"/>
      <c r="F31" s="28">
        <f>ExpenseTable5[[#This Row],[ACTUAL]]-ExpenseTable5[[#This Row],[PROPOSED]]</f>
        <v>0</v>
      </c>
      <c r="G31" s="29">
        <f>ExpenseTable5[[#This Row],[ACTUAL]]-ExpenseTable5[[#This Row],[PRIOR YEAR]]</f>
        <v>0</v>
      </c>
    </row>
    <row r="32" spans="2:7" ht="24" customHeight="1" x14ac:dyDescent="0.3">
      <c r="B32" s="27" t="s">
        <v>42</v>
      </c>
      <c r="C32" s="28"/>
      <c r="D32" s="28">
        <f>45*75</f>
        <v>3375</v>
      </c>
      <c r="E32" s="28">
        <v>933.99</v>
      </c>
      <c r="F32" s="28">
        <f>ExpenseTable5[[#This Row],[ACTUAL]]-ExpenseTable5[[#This Row],[PROPOSED]]</f>
        <v>-2441.0100000000002</v>
      </c>
      <c r="G32" s="29">
        <f>ExpenseTable5[[#This Row],[ACTUAL]]-ExpenseTable5[[#This Row],[PRIOR YEAR]]</f>
        <v>933.99</v>
      </c>
    </row>
    <row r="33" spans="2:7" ht="24" customHeight="1" x14ac:dyDescent="0.3">
      <c r="B33" s="27" t="s">
        <v>43</v>
      </c>
      <c r="C33" s="28"/>
      <c r="D33" s="28">
        <v>125</v>
      </c>
      <c r="E33" s="28">
        <v>100</v>
      </c>
      <c r="F33" s="28">
        <f>ExpenseTable5[[#This Row],[ACTUAL]]-ExpenseTable5[[#This Row],[PROPOSED]]</f>
        <v>-25</v>
      </c>
      <c r="G33" s="29">
        <f>ExpenseTable5[[#This Row],[ACTUAL]]-ExpenseTable5[[#This Row],[PRIOR YEAR]]</f>
        <v>100</v>
      </c>
    </row>
    <row r="34" spans="2:7" ht="24" customHeight="1" x14ac:dyDescent="0.3">
      <c r="B34" s="27" t="s">
        <v>44</v>
      </c>
      <c r="C34" s="28"/>
      <c r="D34" s="28">
        <v>0</v>
      </c>
      <c r="E34" s="28"/>
      <c r="F34" s="28">
        <f>ExpenseTable5[[#This Row],[ACTUAL]]-ExpenseTable5[[#This Row],[PROPOSED]]</f>
        <v>0</v>
      </c>
      <c r="G34" s="29">
        <f>ExpenseTable5[[#This Row],[ACTUAL]]-ExpenseTable5[[#This Row],[PRIOR YEAR]]</f>
        <v>0</v>
      </c>
    </row>
    <row r="35" spans="2:7" ht="24" customHeight="1" x14ac:dyDescent="0.3">
      <c r="B35" s="27" t="s">
        <v>45</v>
      </c>
      <c r="C35" s="30"/>
      <c r="D35" s="30"/>
      <c r="E35" s="30">
        <v>550</v>
      </c>
      <c r="F35" s="30">
        <f>ExpenseTable5[[#This Row],[ACTUAL]]-ExpenseTable5[[#This Row],[PROPOSED]]</f>
        <v>550</v>
      </c>
      <c r="G35" s="31">
        <f>ExpenseTable5[[#This Row],[ACTUAL]]-ExpenseTable5[[#This Row],[PRIOR YEAR]]</f>
        <v>550</v>
      </c>
    </row>
    <row r="36" spans="2:7" ht="24" customHeight="1" x14ac:dyDescent="0.3">
      <c r="B36" s="27" t="s">
        <v>46</v>
      </c>
      <c r="C36" s="28"/>
      <c r="D36" s="28">
        <v>750</v>
      </c>
      <c r="E36" s="28">
        <f>625.5+95.99+36.57</f>
        <v>758.06000000000006</v>
      </c>
      <c r="F36" s="28">
        <f>ExpenseTable5[[#This Row],[ACTUAL]]-ExpenseTable5[[#This Row],[PROPOSED]]</f>
        <v>8.0600000000000591</v>
      </c>
      <c r="G36" s="29">
        <f>ExpenseTable5[[#This Row],[ACTUAL]]-ExpenseTable5[[#This Row],[PRIOR YEAR]]</f>
        <v>758.06000000000006</v>
      </c>
    </row>
    <row r="37" spans="2:7" ht="24" customHeight="1" x14ac:dyDescent="0.3">
      <c r="B37" s="4" t="s">
        <v>37</v>
      </c>
      <c r="C37" s="6"/>
      <c r="D37" s="6"/>
      <c r="E37" s="6"/>
      <c r="F37" s="6">
        <f>ExpenseTable5[[#This Row],[ACTUAL]]-ExpenseTable5[[#This Row],[PROPOSED]]</f>
        <v>0</v>
      </c>
      <c r="G37" s="7">
        <f>ExpenseTable5[[#This Row],[ACTUAL]]-ExpenseTable5[[#This Row],[PRIOR YEAR]]</f>
        <v>0</v>
      </c>
    </row>
    <row r="38" spans="2:7" ht="24" customHeight="1" x14ac:dyDescent="0.3">
      <c r="B38" s="24" t="s">
        <v>27</v>
      </c>
      <c r="C38" s="6">
        <v>100</v>
      </c>
      <c r="D38" s="6">
        <v>100</v>
      </c>
      <c r="E38" s="6"/>
      <c r="F38" s="6">
        <f>ExpenseTable5[[#This Row],[ACTUAL]]-ExpenseTable5[[#This Row],[PROPOSED]]</f>
        <v>-100</v>
      </c>
      <c r="G38" s="7">
        <f>ExpenseTable5[[#This Row],[ACTUAL]]-ExpenseTable5[[#This Row],[PRIOR YEAR]]</f>
        <v>-100</v>
      </c>
    </row>
    <row r="39" spans="2:7" ht="24" customHeight="1" x14ac:dyDescent="0.3">
      <c r="B39" s="24" t="s">
        <v>28</v>
      </c>
      <c r="C39" s="6">
        <v>0</v>
      </c>
      <c r="D39" s="6"/>
      <c r="E39" s="6"/>
      <c r="F39" s="6">
        <f>ExpenseTable5[[#This Row],[ACTUAL]]-ExpenseTable5[[#This Row],[PROPOSED]]</f>
        <v>0</v>
      </c>
      <c r="G39" s="7">
        <f>ExpenseTable5[[#This Row],[ACTUAL]]-ExpenseTable5[[#This Row],[PRIOR YEAR]]</f>
        <v>0</v>
      </c>
    </row>
    <row r="40" spans="2:7" ht="24" customHeight="1" x14ac:dyDescent="0.3">
      <c r="B40" s="24" t="s">
        <v>29</v>
      </c>
      <c r="C40" s="6">
        <v>125</v>
      </c>
      <c r="D40" s="6">
        <v>125</v>
      </c>
      <c r="E40" s="6">
        <v>0</v>
      </c>
      <c r="F40" s="6">
        <f>ExpenseTable5[[#This Row],[ACTUAL]]-ExpenseTable5[[#This Row],[PROPOSED]]</f>
        <v>-125</v>
      </c>
      <c r="G40" s="7">
        <f>ExpenseTable5[[#This Row],[ACTUAL]]-ExpenseTable5[[#This Row],[PRIOR YEAR]]</f>
        <v>-125</v>
      </c>
    </row>
    <row r="41" spans="2:7" ht="24" customHeight="1" x14ac:dyDescent="0.3">
      <c r="B41" s="24" t="s">
        <v>26</v>
      </c>
      <c r="C41" s="6">
        <v>175</v>
      </c>
      <c r="D41" s="6">
        <v>175</v>
      </c>
      <c r="E41" s="6"/>
      <c r="F41" s="6">
        <f>ExpenseTable5[[#This Row],[ACTUAL]]-ExpenseTable5[[#This Row],[PROPOSED]]</f>
        <v>-175</v>
      </c>
      <c r="G41" s="7">
        <f>ExpenseTable5[[#This Row],[ACTUAL]]-ExpenseTable5[[#This Row],[PRIOR YEAR]]</f>
        <v>-175</v>
      </c>
    </row>
    <row r="42" spans="2:7" ht="24" customHeight="1" x14ac:dyDescent="0.3">
      <c r="B42" s="24" t="s">
        <v>31</v>
      </c>
      <c r="C42" s="6"/>
      <c r="D42" s="6">
        <v>600</v>
      </c>
      <c r="E42" s="6"/>
      <c r="F42" s="6">
        <f>ExpenseTable5[[#This Row],[ACTUAL]]-ExpenseTable5[[#This Row],[PROPOSED]]</f>
        <v>-600</v>
      </c>
      <c r="G42" s="7">
        <f>ExpenseTable5[[#This Row],[ACTUAL]]-ExpenseTable5[[#This Row],[PRIOR YEAR]]</f>
        <v>0</v>
      </c>
    </row>
    <row r="43" spans="2:7" ht="24" customHeight="1" x14ac:dyDescent="0.3">
      <c r="B43" s="25" t="s">
        <v>51</v>
      </c>
      <c r="C43" s="6"/>
      <c r="D43" s="6"/>
      <c r="E43" s="6">
        <v>300</v>
      </c>
      <c r="F43" s="6">
        <f>ExpenseTable5[[#This Row],[ACTUAL]]-ExpenseTable5[[#This Row],[PROPOSED]]</f>
        <v>300</v>
      </c>
      <c r="G43" s="7">
        <f>ExpenseTable5[[#This Row],[ACTUAL]]-ExpenseTable5[[#This Row],[PRIOR YEAR]]</f>
        <v>300</v>
      </c>
    </row>
    <row r="44" spans="2:7" ht="24" customHeight="1" x14ac:dyDescent="0.3">
      <c r="B44" s="24" t="s">
        <v>32</v>
      </c>
      <c r="C44" s="6"/>
      <c r="D44" s="6">
        <v>100</v>
      </c>
      <c r="E44" s="6"/>
      <c r="F44" s="6">
        <f>ExpenseTable5[[#This Row],[ACTUAL]]-ExpenseTable5[[#This Row],[PROPOSED]]</f>
        <v>-100</v>
      </c>
      <c r="G44" s="7">
        <f>ExpenseTable5[[#This Row],[ACTUAL]]-ExpenseTable5[[#This Row],[PRIOR YEAR]]</f>
        <v>0</v>
      </c>
    </row>
    <row r="45" spans="2:7" ht="24" customHeight="1" x14ac:dyDescent="0.3">
      <c r="B45" s="4" t="s">
        <v>33</v>
      </c>
      <c r="C45" s="6"/>
      <c r="D45" s="6"/>
      <c r="E45" s="6"/>
      <c r="F45" s="6"/>
      <c r="G45" s="7"/>
    </row>
    <row r="46" spans="2:7" ht="24" customHeight="1" x14ac:dyDescent="0.3">
      <c r="B46" s="25" t="s">
        <v>34</v>
      </c>
      <c r="C46" s="6"/>
      <c r="D46" s="6">
        <v>300</v>
      </c>
      <c r="E46" s="6">
        <f>150+200+30+80</f>
        <v>460</v>
      </c>
      <c r="F46" s="6">
        <f>ExpenseTable5[[#This Row],[ACTUAL]]-ExpenseTable5[[#This Row],[PROPOSED]]</f>
        <v>160</v>
      </c>
      <c r="G46" s="7">
        <f>ExpenseTable5[[#This Row],[ACTUAL]]-ExpenseTable5[[#This Row],[PRIOR YEAR]]</f>
        <v>460</v>
      </c>
    </row>
    <row r="47" spans="2:7" ht="24" customHeight="1" x14ac:dyDescent="0.3">
      <c r="B47" s="25" t="s">
        <v>21</v>
      </c>
      <c r="C47" s="6"/>
      <c r="D47" s="6"/>
      <c r="E47" s="6"/>
      <c r="F47" s="6">
        <f>ExpenseTable5[[#This Row],[ACTUAL]]-ExpenseTable5[[#This Row],[PROPOSED]]</f>
        <v>0</v>
      </c>
      <c r="G47" s="7">
        <f>ExpenseTable5[[#This Row],[ACTUAL]]-ExpenseTable5[[#This Row],[PRIOR YEAR]]</f>
        <v>0</v>
      </c>
    </row>
    <row r="48" spans="2:7" ht="24" customHeight="1" x14ac:dyDescent="0.3">
      <c r="B48" s="25" t="s">
        <v>36</v>
      </c>
      <c r="C48" s="6"/>
      <c r="D48" s="6"/>
      <c r="E48" s="6"/>
      <c r="F48" s="6">
        <f>ExpenseTable5[[#This Row],[ACTUAL]]-ExpenseTable5[[#This Row],[PROPOSED]]</f>
        <v>0</v>
      </c>
      <c r="G48" s="7">
        <f>ExpenseTable5[[#This Row],[ACTUAL]]-ExpenseTable5[[#This Row],[PRIOR YEAR]]</f>
        <v>0</v>
      </c>
    </row>
    <row r="49" spans="2:7" ht="24" customHeight="1" x14ac:dyDescent="0.3">
      <c r="B49" s="4" t="s">
        <v>38</v>
      </c>
      <c r="C49" s="6"/>
      <c r="D49" s="6"/>
      <c r="E49" s="6"/>
      <c r="F49" s="6">
        <f>ExpenseTable5[[#This Row],[ACTUAL]]-ExpenseTable5[[#This Row],[PROPOSED]]</f>
        <v>0</v>
      </c>
      <c r="G49" s="7">
        <f>ExpenseTable5[[#This Row],[ACTUAL]]-ExpenseTable5[[#This Row],[PRIOR YEAR]]</f>
        <v>0</v>
      </c>
    </row>
    <row r="50" spans="2:7" ht="24" customHeight="1" x14ac:dyDescent="0.3">
      <c r="B50" s="25" t="s">
        <v>39</v>
      </c>
      <c r="C50" s="6"/>
      <c r="D50" s="6">
        <v>1000</v>
      </c>
      <c r="E50" s="6"/>
      <c r="F50" s="6">
        <f>ExpenseTable5[[#This Row],[ACTUAL]]-ExpenseTable5[[#This Row],[PROPOSED]]</f>
        <v>-1000</v>
      </c>
      <c r="G50" s="7">
        <f>ExpenseTable5[[#This Row],[ACTUAL]]-ExpenseTable5[[#This Row],[PRIOR YEAR]]</f>
        <v>0</v>
      </c>
    </row>
    <row r="51" spans="2:7" ht="24" customHeight="1" x14ac:dyDescent="0.3">
      <c r="B51" s="25" t="s">
        <v>40</v>
      </c>
      <c r="C51" s="6"/>
      <c r="D51" s="6">
        <v>0</v>
      </c>
      <c r="E51" s="6">
        <f>50</f>
        <v>50</v>
      </c>
      <c r="F51" s="6">
        <f>ExpenseTable5[[#This Row],[ACTUAL]]-ExpenseTable5[[#This Row],[PROPOSED]]</f>
        <v>50</v>
      </c>
      <c r="G51" s="7">
        <f>ExpenseTable5[[#This Row],[ACTUAL]]-ExpenseTable5[[#This Row],[PRIOR YEAR]]</f>
        <v>50</v>
      </c>
    </row>
    <row r="52" spans="2:7" ht="24" customHeight="1" x14ac:dyDescent="0.3">
      <c r="B52" s="25" t="s">
        <v>52</v>
      </c>
      <c r="C52" s="6"/>
      <c r="D52" s="6"/>
      <c r="E52" s="6">
        <v>30</v>
      </c>
      <c r="F52" s="6">
        <f>ExpenseTable5[[#This Row],[ACTUAL]]-ExpenseTable5[[#This Row],[PROPOSED]]</f>
        <v>30</v>
      </c>
      <c r="G52" s="7">
        <f>ExpenseTable5[[#This Row],[ACTUAL]]-ExpenseTable5[[#This Row],[PRIOR YEAR]]</f>
        <v>30</v>
      </c>
    </row>
    <row r="53" spans="2:7" ht="24" customHeight="1" x14ac:dyDescent="0.3">
      <c r="B53" s="4" t="s">
        <v>35</v>
      </c>
      <c r="C53" s="6"/>
      <c r="D53" s="6"/>
      <c r="E53" s="6"/>
      <c r="F53" s="6">
        <f>ExpenseTable5[[#This Row],[ACTUAL]]-ExpenseTable5[[#This Row],[PROPOSED]]</f>
        <v>0</v>
      </c>
      <c r="G53" s="7">
        <f>ExpenseTable5[[#This Row],[ACTUAL]]-ExpenseTable5[[#This Row],[PRIOR YEAR]]</f>
        <v>0</v>
      </c>
    </row>
    <row r="54" spans="2:7" ht="24" customHeight="1" x14ac:dyDescent="0.3">
      <c r="B54" s="25" t="s">
        <v>25</v>
      </c>
      <c r="C54" s="6"/>
      <c r="D54" s="6">
        <v>200</v>
      </c>
      <c r="E54" s="6">
        <v>80</v>
      </c>
      <c r="F54" s="6">
        <f>ExpenseTable5[[#This Row],[ACTUAL]]-ExpenseTable5[[#This Row],[PROPOSED]]</f>
        <v>-120</v>
      </c>
      <c r="G54" s="7">
        <f>ExpenseTable5[[#This Row],[ACTUAL]]-ExpenseTable5[[#This Row],[PRIOR YEAR]]</f>
        <v>80</v>
      </c>
    </row>
    <row r="55" spans="2:7" ht="24" customHeight="1" x14ac:dyDescent="0.3">
      <c r="B55" s="24" t="s">
        <v>30</v>
      </c>
      <c r="C55" s="6"/>
      <c r="D55" s="6">
        <f>40*4</f>
        <v>160</v>
      </c>
      <c r="E55" s="6">
        <f>14*4</f>
        <v>56</v>
      </c>
      <c r="F55" s="6">
        <f>ExpenseTable5[[#This Row],[ACTUAL]]-ExpenseTable5[[#This Row],[PROPOSED]]</f>
        <v>-104</v>
      </c>
      <c r="G55" s="7">
        <f>ExpenseTable5[[#This Row],[ACTUAL]]-ExpenseTable5[[#This Row],[PRIOR YEAR]]</f>
        <v>56</v>
      </c>
    </row>
    <row r="56" spans="2:7" ht="24" customHeight="1" x14ac:dyDescent="0.3">
      <c r="B56" s="25" t="s">
        <v>48</v>
      </c>
      <c r="C56" s="6"/>
      <c r="D56" s="6">
        <v>0</v>
      </c>
      <c r="E56" s="6">
        <v>0</v>
      </c>
      <c r="F56" s="6">
        <f>ExpenseTable5[[#This Row],[ACTUAL]]-ExpenseTable5[[#This Row],[PROPOSED]]</f>
        <v>0</v>
      </c>
      <c r="G56" s="7">
        <f>ExpenseTable5[[#This Row],[ACTUAL]]-ExpenseTable5[[#This Row],[PRIOR YEAR]]</f>
        <v>0</v>
      </c>
    </row>
    <row r="57" spans="2:7" ht="24" customHeight="1" x14ac:dyDescent="0.3">
      <c r="B57" s="25" t="s">
        <v>2</v>
      </c>
      <c r="C57" s="6"/>
      <c r="D57" s="6">
        <v>235</v>
      </c>
      <c r="E57" s="6">
        <v>235</v>
      </c>
      <c r="F57" s="6">
        <f>ExpenseTable5[[#This Row],[ACTUAL]]-ExpenseTable5[[#This Row],[PROPOSED]]</f>
        <v>0</v>
      </c>
      <c r="G57" s="7">
        <f>ExpenseTable5[[#This Row],[ACTUAL]]-ExpenseTable5[[#This Row],[PRIOR YEAR]]</f>
        <v>235</v>
      </c>
    </row>
    <row r="58" spans="2:7" ht="24" customHeight="1" x14ac:dyDescent="0.3">
      <c r="B58" s="25" t="s">
        <v>53</v>
      </c>
      <c r="C58" s="6"/>
      <c r="D58" s="6"/>
      <c r="E58" s="6">
        <v>750</v>
      </c>
      <c r="F58" s="6">
        <f>ExpenseTable5[[#This Row],[ACTUAL]]-ExpenseTable5[[#This Row],[PROPOSED]]</f>
        <v>750</v>
      </c>
      <c r="G58" s="7">
        <f>ExpenseTable5[[#This Row],[ACTUAL]]-ExpenseTable5[[#This Row],[PRIOR YEAR]]</f>
        <v>750</v>
      </c>
    </row>
    <row r="59" spans="2:7" ht="24" customHeight="1" x14ac:dyDescent="0.3">
      <c r="B59" s="25" t="s">
        <v>64</v>
      </c>
      <c r="C59" s="6"/>
      <c r="D59" s="6"/>
      <c r="E59" s="6">
        <v>200</v>
      </c>
      <c r="F59" s="6">
        <f>ExpenseTable5[[#This Row],[ACTUAL]]-ExpenseTable5[[#This Row],[PROPOSED]]</f>
        <v>200</v>
      </c>
      <c r="G59" s="7">
        <f>ExpenseTable5[[#This Row],[ACTUAL]]-ExpenseTable5[[#This Row],[PRIOR YEAR]]</f>
        <v>200</v>
      </c>
    </row>
    <row r="60" spans="2:7" ht="24" customHeight="1" x14ac:dyDescent="0.3">
      <c r="B60" s="25" t="s">
        <v>47</v>
      </c>
      <c r="C60" s="6"/>
      <c r="D60" s="6">
        <f>8*40</f>
        <v>320</v>
      </c>
      <c r="E60" s="6">
        <f>85+30+25+60+70</f>
        <v>270</v>
      </c>
      <c r="F60" s="6">
        <f>ExpenseTable5[[#This Row],[ACTUAL]]-ExpenseTable5[[#This Row],[PROPOSED]]</f>
        <v>-50</v>
      </c>
      <c r="G60" s="7">
        <f>ExpenseTable5[[#This Row],[ACTUAL]]-ExpenseTable5[[#This Row],[PRIOR YEAR]]</f>
        <v>270</v>
      </c>
    </row>
    <row r="61" spans="2:7" ht="24" customHeight="1" x14ac:dyDescent="0.3">
      <c r="B61" s="25" t="s">
        <v>3</v>
      </c>
      <c r="C61" s="6"/>
      <c r="D61" s="6"/>
      <c r="E61" s="6">
        <v>8.75</v>
      </c>
      <c r="F61" s="6">
        <f>ExpenseTable5[[#This Row],[ACTUAL]]-ExpenseTable5[[#This Row],[PROPOSED]]</f>
        <v>8.75</v>
      </c>
      <c r="G61" s="7">
        <f>ExpenseTable5[[#This Row],[ACTUAL]]-ExpenseTable5[[#This Row],[PRIOR YEAR]]</f>
        <v>8.75</v>
      </c>
    </row>
    <row r="62" spans="2:7" ht="24" customHeight="1" x14ac:dyDescent="0.3">
      <c r="B62" s="25" t="s">
        <v>0</v>
      </c>
      <c r="C62" s="6"/>
      <c r="D62" s="6"/>
      <c r="E62" s="6">
        <v>115.04</v>
      </c>
      <c r="F62" s="6">
        <f>ExpenseTable5[[#This Row],[ACTUAL]]-ExpenseTable5[[#This Row],[PROPOSED]]</f>
        <v>115.04</v>
      </c>
      <c r="G62" s="7">
        <f>ExpenseTable5[[#This Row],[ACTUAL]]-ExpenseTable5[[#This Row],[PRIOR YEAR]]</f>
        <v>115.04</v>
      </c>
    </row>
    <row r="63" spans="2:7" ht="24" customHeight="1" x14ac:dyDescent="0.3">
      <c r="B63" s="4" t="s">
        <v>10</v>
      </c>
      <c r="C63" s="8">
        <f>SUBTOTAL(109,ExpenseTable5[PRIOR YEAR])</f>
        <v>400</v>
      </c>
      <c r="D63" s="8">
        <f>SUBTOTAL(109,ExpenseTable5[PROPOSED])</f>
        <v>7565</v>
      </c>
      <c r="E63" s="8">
        <f>SUBTOTAL(109,ExpenseTable5[ACTUAL])</f>
        <v>4896.84</v>
      </c>
      <c r="F63" s="8">
        <f>SUBTOTAL(109,ExpenseTable5[VARIANCE])</f>
        <v>-2668.1600000000003</v>
      </c>
      <c r="G63" s="9">
        <f>SUBTOTAL(109,ExpenseTable5[+/- PRIOR YEAR])</f>
        <v>4496.84</v>
      </c>
    </row>
    <row r="65" spans="5:5" ht="24" customHeight="1" x14ac:dyDescent="0.3">
      <c r="E65" s="1">
        <f>ExpenseTable5[[#Totals],[ACTUAL]]+(490+1440.6+1610.5+2232)</f>
        <v>10669.94</v>
      </c>
    </row>
    <row r="66" spans="5:5" ht="24" customHeight="1" x14ac:dyDescent="0.3">
      <c r="E66" s="1">
        <v>10613.94</v>
      </c>
    </row>
    <row r="67" spans="5:5" ht="24" customHeight="1" x14ac:dyDescent="0.3">
      <c r="E67" s="1">
        <f>E65-E66</f>
        <v>56</v>
      </c>
    </row>
  </sheetData>
  <mergeCells count="2">
    <mergeCell ref="B21:G21"/>
    <mergeCell ref="B26:F26"/>
  </mergeCells>
  <conditionalFormatting sqref="C11:G20 C31:G63">
    <cfRule type="expression" dxfId="26" priority="1">
      <formula>C11&lt;0</formula>
    </cfRule>
  </conditionalFormatting>
  <printOptions horizontalCentered="1"/>
  <pageMargins left="0.7" right="0.7" top="0.75" bottom="0.75" header="0.3" footer="0.3"/>
  <pageSetup scale="65" fitToHeight="0" orientation="portrait" r:id="rId1"/>
  <headerFooter differentFirst="1">
    <oddFooter>Page &amp;P of &amp;N</oddFooter>
  </headerFooter>
  <rowBreaks count="1" manualBreakCount="1">
    <brk id="21" max="16383" man="1"/>
  </rowBreaks>
  <drawing r:id="rId2"/>
  <picture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74"/>
  <sheetViews>
    <sheetView showGridLines="0" zoomScale="80" zoomScaleNormal="80" workbookViewId="0">
      <selection activeCell="J7" sqref="J7"/>
    </sheetView>
  </sheetViews>
  <sheetFormatPr defaultColWidth="8.6640625" defaultRowHeight="24" customHeight="1" x14ac:dyDescent="0.3"/>
  <cols>
    <col min="1" max="1" width="2.6640625" style="1" customWidth="1"/>
    <col min="2" max="2" width="39.88671875" style="1" customWidth="1"/>
    <col min="3" max="7" width="18.6640625" style="1" customWidth="1"/>
    <col min="8" max="8" width="2.6640625" style="1" customWidth="1"/>
    <col min="9" max="16384" width="8.6640625" style="1"/>
  </cols>
  <sheetData>
    <row r="1" spans="2:7" ht="58.5" customHeight="1" x14ac:dyDescent="0.85">
      <c r="B1" s="3" t="s">
        <v>12</v>
      </c>
      <c r="F1" s="10" t="s">
        <v>13</v>
      </c>
      <c r="G1" s="2" t="s">
        <v>14</v>
      </c>
    </row>
    <row r="2" spans="2:7" ht="24" customHeight="1" x14ac:dyDescent="0.85">
      <c r="B2" s="3"/>
      <c r="F2" s="10"/>
      <c r="G2" s="2"/>
    </row>
    <row r="9" spans="2:7" ht="24" customHeight="1" x14ac:dyDescent="0.35">
      <c r="B9" s="22"/>
      <c r="C9" s="18" t="s">
        <v>15</v>
      </c>
      <c r="D9" s="18" t="s">
        <v>16</v>
      </c>
      <c r="E9" s="18" t="s">
        <v>16</v>
      </c>
      <c r="F9" s="18" t="s">
        <v>16</v>
      </c>
      <c r="G9" s="18" t="s">
        <v>16</v>
      </c>
    </row>
    <row r="10" spans="2:7" ht="24" customHeight="1" x14ac:dyDescent="0.3">
      <c r="B10" s="21" t="s">
        <v>8</v>
      </c>
      <c r="C10" s="19" t="s">
        <v>4</v>
      </c>
      <c r="D10" s="19" t="s">
        <v>5</v>
      </c>
      <c r="E10" s="19" t="s">
        <v>6</v>
      </c>
      <c r="F10" s="19" t="s">
        <v>11</v>
      </c>
      <c r="G10" s="20" t="s">
        <v>7</v>
      </c>
    </row>
    <row r="11" spans="2:7" ht="24" customHeight="1" x14ac:dyDescent="0.3">
      <c r="B11" s="11" t="s">
        <v>17</v>
      </c>
      <c r="C11" s="12">
        <f>RevenueTable4[[#This Row],[ACTUAL]]</f>
        <v>140</v>
      </c>
      <c r="D11" s="12">
        <f t="shared" ref="D11" si="0">40*10</f>
        <v>400</v>
      </c>
      <c r="E11" s="12">
        <v>460</v>
      </c>
      <c r="F11" s="12">
        <f>RevenueTable46[[#This Row],[ACTUAL]]-RevenueTable46[[#This Row],[PROPOSED]]</f>
        <v>60</v>
      </c>
      <c r="G11" s="13">
        <f>RevenueTable46[[#This Row],[ACTUAL]]-RevenueTable46[[#This Row],[PRIOR YEAR]]</f>
        <v>320</v>
      </c>
    </row>
    <row r="12" spans="2:7" ht="24" customHeight="1" x14ac:dyDescent="0.3">
      <c r="B12" s="11" t="s">
        <v>18</v>
      </c>
      <c r="C12" s="12">
        <f>RevenueTable4[[#This Row],[ACTUAL]]</f>
        <v>4460.0999999999985</v>
      </c>
      <c r="D12" s="12">
        <v>6000</v>
      </c>
      <c r="E12" s="12">
        <v>6940.47</v>
      </c>
      <c r="F12" s="12">
        <f>RevenueTable46[[#This Row],[ACTUAL]]-RevenueTable46[[#This Row],[PROPOSED]]</f>
        <v>940.47000000000025</v>
      </c>
      <c r="G12" s="13">
        <f>RevenueTable46[[#This Row],[ACTUAL]]-RevenueTable46[[#This Row],[PRIOR YEAR]]</f>
        <v>2480.3700000000017</v>
      </c>
    </row>
    <row r="13" spans="2:7" ht="24" customHeight="1" x14ac:dyDescent="0.3">
      <c r="B13" s="11" t="s">
        <v>1</v>
      </c>
      <c r="C13" s="12">
        <f>RevenueTable4[[#This Row],[ACTUAL]]</f>
        <v>0</v>
      </c>
      <c r="D13" s="12"/>
      <c r="E13" s="12">
        <f>2372-1500</f>
        <v>872</v>
      </c>
      <c r="F13" s="12">
        <f>RevenueTable46[[#This Row],[ACTUAL]]-RevenueTable46[[#This Row],[PROPOSED]]</f>
        <v>872</v>
      </c>
      <c r="G13" s="13">
        <f>RevenueTable46[[#This Row],[ACTUAL]]-RevenueTable46[[#This Row],[PRIOR YEAR]]</f>
        <v>872</v>
      </c>
    </row>
    <row r="14" spans="2:7" ht="24" customHeight="1" x14ac:dyDescent="0.3">
      <c r="B14" s="23" t="s">
        <v>75</v>
      </c>
      <c r="C14" s="12">
        <f>RevenueTable4[[#This Row],[ACTUAL]]</f>
        <v>81.900000000000006</v>
      </c>
      <c r="D14" s="12">
        <v>100</v>
      </c>
      <c r="E14" s="12"/>
      <c r="F14" s="12">
        <f>RevenueTable46[[#This Row],[ACTUAL]]-RevenueTable46[[#This Row],[PROPOSED]]</f>
        <v>-100</v>
      </c>
      <c r="G14" s="13">
        <f>RevenueTable46[[#This Row],[ACTUAL]]-RevenueTable46[[#This Row],[PRIOR YEAR]]</f>
        <v>-81.900000000000006</v>
      </c>
    </row>
    <row r="15" spans="2:7" ht="24" customHeight="1" x14ac:dyDescent="0.3">
      <c r="B15" s="23" t="s">
        <v>19</v>
      </c>
      <c r="C15" s="12">
        <f>RevenueTable4[[#This Row],[ACTUAL]]</f>
        <v>1300</v>
      </c>
      <c r="D15" s="12"/>
      <c r="E15" s="12"/>
      <c r="F15" s="12">
        <f>RevenueTable46[[#This Row],[ACTUAL]]-RevenueTable46[[#This Row],[PROPOSED]]</f>
        <v>0</v>
      </c>
      <c r="G15" s="13">
        <f>RevenueTable46[[#This Row],[ACTUAL]]-RevenueTable46[[#This Row],[PRIOR YEAR]]</f>
        <v>-1300</v>
      </c>
    </row>
    <row r="16" spans="2:7" ht="24" hidden="1" customHeight="1" x14ac:dyDescent="0.3">
      <c r="B16" s="23" t="s">
        <v>24</v>
      </c>
      <c r="C16" s="12">
        <f>RevenueTable4[[#This Row],[ACTUAL]]</f>
        <v>0</v>
      </c>
      <c r="D16" s="12"/>
      <c r="E16" s="12"/>
      <c r="F16" s="12">
        <f>RevenueTable46[[#This Row],[ACTUAL]]-RevenueTable46[[#This Row],[PROPOSED]]</f>
        <v>0</v>
      </c>
      <c r="G16" s="13">
        <f>RevenueTable46[[#This Row],[ACTUAL]]-RevenueTable46[[#This Row],[PRIOR YEAR]]</f>
        <v>0</v>
      </c>
    </row>
    <row r="17" spans="2:7" ht="24" customHeight="1" x14ac:dyDescent="0.3">
      <c r="B17" s="23" t="s">
        <v>245</v>
      </c>
      <c r="C17" s="12">
        <f>RevenueTable4[[#This Row],[ACTUAL]]</f>
        <v>0</v>
      </c>
      <c r="D17" s="12">
        <v>1500</v>
      </c>
      <c r="E17" s="12">
        <v>1500</v>
      </c>
      <c r="F17" s="12">
        <f>RevenueTable46[[#This Row],[ACTUAL]]-RevenueTable46[[#This Row],[PROPOSED]]</f>
        <v>0</v>
      </c>
      <c r="G17" s="13">
        <f>RevenueTable46[[#This Row],[ACTUAL]]-RevenueTable46[[#This Row],[PRIOR YEAR]]</f>
        <v>1500</v>
      </c>
    </row>
    <row r="18" spans="2:7" ht="24" customHeight="1" x14ac:dyDescent="0.3">
      <c r="B18" s="11" t="s">
        <v>244</v>
      </c>
      <c r="C18" s="12"/>
      <c r="D18" s="12">
        <v>1500</v>
      </c>
      <c r="E18" s="12"/>
      <c r="F18" s="12">
        <f>RevenueTable46[[#This Row],[ACTUAL]]-RevenueTable46[[#This Row],[PROPOSED]]</f>
        <v>-1500</v>
      </c>
      <c r="G18" s="13">
        <f>RevenueTable46[[#This Row],[ACTUAL]]-RevenueTable46[[#This Row],[PRIOR YEAR]]</f>
        <v>0</v>
      </c>
    </row>
    <row r="19" spans="2:7" ht="24" customHeight="1" x14ac:dyDescent="0.3">
      <c r="B19" s="11" t="s">
        <v>0</v>
      </c>
      <c r="C19" s="12">
        <f>RevenueTable4[[#This Row],[ACTUAL]]</f>
        <v>0</v>
      </c>
      <c r="D19" s="12"/>
      <c r="E19" s="12">
        <f>1741.4</f>
        <v>1741.4</v>
      </c>
      <c r="F19" s="12">
        <f>RevenueTable46[[#This Row],[ACTUAL]]-RevenueTable46[[#This Row],[PROPOSED]]</f>
        <v>1741.4</v>
      </c>
      <c r="G19" s="13">
        <f>RevenueTable46[[#This Row],[ACTUAL]]-RevenueTable46[[#This Row],[PRIOR YEAR]]</f>
        <v>1741.4</v>
      </c>
    </row>
    <row r="20" spans="2:7" ht="24" customHeight="1" x14ac:dyDescent="0.3">
      <c r="B20" s="38" t="s">
        <v>10</v>
      </c>
      <c r="C20" s="39">
        <f>SUBTOTAL(109,RevenueTable46[PRIOR YEAR])</f>
        <v>5981.9999999999982</v>
      </c>
      <c r="D20" s="39">
        <f>SUBTOTAL(109,RevenueTable46[PROPOSED])</f>
        <v>9500</v>
      </c>
      <c r="E20" s="39">
        <f>SUBTOTAL(109,RevenueTable46[ACTUAL])</f>
        <v>11513.87</v>
      </c>
      <c r="F20" s="39">
        <f>SUBTOTAL(109,RevenueTable46[VARIANCE])</f>
        <v>2013.8700000000003</v>
      </c>
      <c r="G20" s="62">
        <f>SUBTOTAL(109,RevenueTable46[+/- PRIOR YEAR])</f>
        <v>5531.8700000000017</v>
      </c>
    </row>
    <row r="21" spans="2:7" s="22" customFormat="1" ht="24" customHeight="1" x14ac:dyDescent="0.3">
      <c r="B21" s="74" t="s">
        <v>243</v>
      </c>
      <c r="C21" s="74"/>
      <c r="D21" s="74"/>
      <c r="E21" s="74"/>
      <c r="F21" s="74"/>
      <c r="G21" s="74"/>
    </row>
    <row r="22" spans="2:7" s="60" customFormat="1" ht="24" customHeight="1" x14ac:dyDescent="0.3">
      <c r="B22" s="54" t="s">
        <v>286</v>
      </c>
      <c r="C22" s="53">
        <v>977.92</v>
      </c>
      <c r="D22" s="61"/>
      <c r="E22" s="61"/>
      <c r="F22" s="61"/>
      <c r="G22" s="61"/>
    </row>
    <row r="23" spans="2:7" s="51" customFormat="1" ht="24" customHeight="1" x14ac:dyDescent="0.3">
      <c r="B23" s="54" t="s">
        <v>24</v>
      </c>
      <c r="C23" s="53">
        <v>8027.5</v>
      </c>
      <c r="D23" s="52"/>
      <c r="E23" s="52"/>
      <c r="F23" s="52"/>
      <c r="G23" s="52"/>
    </row>
    <row r="24" spans="2:7" s="51" customFormat="1" ht="24" customHeight="1" x14ac:dyDescent="0.3">
      <c r="B24" s="54" t="s">
        <v>257</v>
      </c>
      <c r="C24" s="53">
        <v>5323.8</v>
      </c>
      <c r="D24" s="55"/>
      <c r="E24" s="52"/>
      <c r="F24" s="52"/>
      <c r="G24" s="52"/>
    </row>
    <row r="25" spans="2:7" s="22" customFormat="1" ht="24" customHeight="1" x14ac:dyDescent="0.3">
      <c r="B25" s="15"/>
      <c r="C25" s="16"/>
      <c r="D25" s="16"/>
      <c r="E25" s="16"/>
      <c r="F25" s="16"/>
      <c r="G25" s="17"/>
    </row>
    <row r="26" spans="2:7" s="22" customFormat="1" ht="24" customHeight="1" x14ac:dyDescent="0.3">
      <c r="B26" s="15"/>
      <c r="C26" s="16"/>
      <c r="D26" s="16"/>
      <c r="E26" s="16"/>
      <c r="F26" s="16"/>
      <c r="G26" s="17"/>
    </row>
    <row r="27" spans="2:7" s="22" customFormat="1" ht="24" customHeight="1" x14ac:dyDescent="0.3">
      <c r="B27" s="15"/>
      <c r="C27" s="16"/>
      <c r="D27" s="16"/>
      <c r="E27" s="16"/>
      <c r="F27" s="16"/>
      <c r="G27" s="17"/>
    </row>
    <row r="28" spans="2:7" s="22" customFormat="1" ht="24" customHeight="1" x14ac:dyDescent="0.3">
      <c r="B28" s="15"/>
      <c r="C28" s="16"/>
      <c r="D28" s="16"/>
      <c r="E28" s="16"/>
      <c r="F28" s="16"/>
      <c r="G28" s="17"/>
    </row>
    <row r="29" spans="2:7" s="22" customFormat="1" ht="24" customHeight="1" x14ac:dyDescent="0.3">
      <c r="B29" s="73"/>
      <c r="C29" s="73"/>
      <c r="D29" s="73"/>
      <c r="E29" s="73"/>
      <c r="F29" s="73"/>
    </row>
    <row r="32" spans="2:7" ht="24" customHeight="1" x14ac:dyDescent="0.35">
      <c r="C32" s="18" t="str">
        <f>C9</f>
        <v>SY 2013-2014</v>
      </c>
      <c r="D32" s="18" t="str">
        <f>D9</f>
        <v>SY 2014-2015</v>
      </c>
      <c r="E32" s="18" t="str">
        <f>E9</f>
        <v>SY 2014-2015</v>
      </c>
      <c r="F32" s="18" t="str">
        <f>F9</f>
        <v>SY 2014-2015</v>
      </c>
      <c r="G32" s="18" t="str">
        <f>G9</f>
        <v>SY 2014-2015</v>
      </c>
    </row>
    <row r="33" spans="2:8" ht="24" customHeight="1" x14ac:dyDescent="0.3">
      <c r="B33" s="5" t="s">
        <v>9</v>
      </c>
      <c r="C33" s="19" t="s">
        <v>4</v>
      </c>
      <c r="D33" s="19" t="s">
        <v>5</v>
      </c>
      <c r="E33" s="19" t="s">
        <v>6</v>
      </c>
      <c r="F33" s="19" t="s">
        <v>11</v>
      </c>
      <c r="G33" s="20" t="s">
        <v>7</v>
      </c>
    </row>
    <row r="34" spans="2:8" ht="24" customHeight="1" x14ac:dyDescent="0.3">
      <c r="B34" s="26" t="s">
        <v>41</v>
      </c>
      <c r="C34" s="28"/>
      <c r="D34" s="28"/>
      <c r="E34" s="28"/>
      <c r="F34" s="28"/>
      <c r="G34" s="28"/>
      <c r="H34" s="57"/>
    </row>
    <row r="35" spans="2:8" ht="24" customHeight="1" x14ac:dyDescent="0.3">
      <c r="B35" s="27" t="s">
        <v>242</v>
      </c>
      <c r="C35" s="28">
        <f>'PTA 2013-2014 Budget'!E32</f>
        <v>933.99</v>
      </c>
      <c r="D35" s="28">
        <f>53*70</f>
        <v>3710</v>
      </c>
      <c r="E35" s="28">
        <v>3185.6</v>
      </c>
      <c r="F35" s="28">
        <f>ExpenseTable57[[#This Row],[ACTUAL]]-ExpenseTable57[[#This Row],[PROPOSED]]</f>
        <v>-524.40000000000009</v>
      </c>
      <c r="G35" s="29">
        <f>ExpenseTable57[[#This Row],[ACTUAL]]-ExpenseTable57[[#This Row],[PRIOR YEAR]]</f>
        <v>2251.6099999999997</v>
      </c>
    </row>
    <row r="36" spans="2:8" ht="24" customHeight="1" x14ac:dyDescent="0.3">
      <c r="B36" s="27" t="s">
        <v>43</v>
      </c>
      <c r="C36" s="28">
        <f>'PTA 2013-2014 Budget'!E33</f>
        <v>100</v>
      </c>
      <c r="D36" s="28"/>
      <c r="E36" s="28"/>
      <c r="F36" s="28">
        <f>ExpenseTable57[[#This Row],[ACTUAL]]-ExpenseTable57[[#This Row],[PROPOSED]]</f>
        <v>0</v>
      </c>
      <c r="G36" s="29">
        <f>ExpenseTable57[[#This Row],[ACTUAL]]-ExpenseTable57[[#This Row],[PRIOR YEAR]]</f>
        <v>-100</v>
      </c>
    </row>
    <row r="37" spans="2:8" ht="24" customHeight="1" x14ac:dyDescent="0.3">
      <c r="B37" s="27" t="s">
        <v>229</v>
      </c>
      <c r="C37" s="28"/>
      <c r="D37" s="28">
        <v>250</v>
      </c>
      <c r="E37" s="28"/>
      <c r="F37" s="28">
        <f>ExpenseTable57[[#This Row],[ACTUAL]]-ExpenseTable57[[#This Row],[PROPOSED]]</f>
        <v>-250</v>
      </c>
      <c r="G37" s="29">
        <f>ExpenseTable57[[#This Row],[ACTUAL]]-ExpenseTable57[[#This Row],[PRIOR YEAR]]</f>
        <v>0</v>
      </c>
    </row>
    <row r="38" spans="2:8" ht="24" customHeight="1" x14ac:dyDescent="0.3">
      <c r="B38" s="27" t="s">
        <v>45</v>
      </c>
      <c r="C38" s="28">
        <f>'PTA 2013-2014 Budget'!E35</f>
        <v>550</v>
      </c>
      <c r="D38" s="30"/>
      <c r="E38" s="30"/>
      <c r="F38" s="30">
        <f>ExpenseTable57[[#This Row],[ACTUAL]]-ExpenseTable57[[#This Row],[PROPOSED]]</f>
        <v>0</v>
      </c>
      <c r="G38" s="31">
        <f>ExpenseTable57[[#This Row],[ACTUAL]]-ExpenseTable57[[#This Row],[PRIOR YEAR]]</f>
        <v>-550</v>
      </c>
    </row>
    <row r="39" spans="2:8" ht="24" customHeight="1" x14ac:dyDescent="0.3">
      <c r="B39" s="27" t="s">
        <v>231</v>
      </c>
      <c r="C39" s="28">
        <f>'PTA 2013-2014 Budget'!D36</f>
        <v>750</v>
      </c>
      <c r="D39" s="28">
        <v>800</v>
      </c>
      <c r="E39" s="28">
        <v>926.85</v>
      </c>
      <c r="F39" s="28">
        <f>ExpenseTable57[[#This Row],[ACTUAL]]-ExpenseTable57[[#This Row],[PROPOSED]]</f>
        <v>126.85000000000002</v>
      </c>
      <c r="G39" s="29">
        <f>ExpenseTable57[[#This Row],[ACTUAL]]-ExpenseTable57[[#This Row],[PRIOR YEAR]]</f>
        <v>176.85000000000002</v>
      </c>
    </row>
    <row r="40" spans="2:8" ht="24" customHeight="1" x14ac:dyDescent="0.3">
      <c r="B40" s="4" t="s">
        <v>37</v>
      </c>
      <c r="C40" s="28"/>
      <c r="D40" s="6"/>
      <c r="E40" s="6"/>
      <c r="F40" s="6"/>
      <c r="G40" s="7"/>
    </row>
    <row r="41" spans="2:8" ht="24" customHeight="1" x14ac:dyDescent="0.3">
      <c r="B41" s="25" t="s">
        <v>230</v>
      </c>
      <c r="C41" s="41"/>
      <c r="D41" s="6">
        <v>50</v>
      </c>
      <c r="E41" s="6">
        <v>178.96</v>
      </c>
      <c r="F41" s="6">
        <f>ExpenseTable57[[#This Row],[ACTUAL]]-ExpenseTable57[[#This Row],[PROPOSED]]</f>
        <v>128.96</v>
      </c>
      <c r="G41" s="7">
        <f>ExpenseTable57[[#This Row],[ACTUAL]]-ExpenseTable57[[#This Row],[PRIOR YEAR]]</f>
        <v>178.96</v>
      </c>
    </row>
    <row r="42" spans="2:8" ht="24" customHeight="1" x14ac:dyDescent="0.3">
      <c r="B42" s="25" t="s">
        <v>303</v>
      </c>
      <c r="C42" s="41"/>
      <c r="D42" s="6"/>
      <c r="E42" s="6">
        <v>240</v>
      </c>
      <c r="F42" s="6">
        <f>ExpenseTable57[[#This Row],[ACTUAL]]-ExpenseTable57[[#This Row],[PROPOSED]]</f>
        <v>240</v>
      </c>
      <c r="G42" s="7">
        <f>ExpenseTable57[[#This Row],[ACTUAL]]-ExpenseTable57[[#This Row],[PRIOR YEAR]]</f>
        <v>240</v>
      </c>
    </row>
    <row r="43" spans="2:8" ht="24" customHeight="1" x14ac:dyDescent="0.3">
      <c r="B43" s="24" t="s">
        <v>251</v>
      </c>
      <c r="C43" s="28">
        <f>ExpenseTable5[[#This Row],[ACTUAL]]</f>
        <v>300</v>
      </c>
      <c r="D43" s="6">
        <v>150</v>
      </c>
      <c r="E43" s="6"/>
      <c r="F43" s="6">
        <f>ExpenseTable57[[#This Row],[ACTUAL]]-ExpenseTable57[[#This Row],[PROPOSED]]</f>
        <v>-150</v>
      </c>
      <c r="G43" s="7">
        <f>ExpenseTable57[[#This Row],[ACTUAL]]-ExpenseTable57[[#This Row],[PRIOR YEAR]]</f>
        <v>-300</v>
      </c>
    </row>
    <row r="44" spans="2:8" ht="24" customHeight="1" x14ac:dyDescent="0.3">
      <c r="B44" s="24" t="s">
        <v>28</v>
      </c>
      <c r="C44" s="28">
        <f>ExpenseTable5[[#This Row],[ACTUAL]]</f>
        <v>0</v>
      </c>
      <c r="D44" s="6">
        <v>150</v>
      </c>
      <c r="E44" s="6">
        <v>100</v>
      </c>
      <c r="F44" s="6">
        <f>ExpenseTable57[[#This Row],[ACTUAL]]-ExpenseTable57[[#This Row],[PROPOSED]]</f>
        <v>-50</v>
      </c>
      <c r="G44" s="7">
        <f>ExpenseTable57[[#This Row],[ACTUAL]]-ExpenseTable57[[#This Row],[PRIOR YEAR]]</f>
        <v>100</v>
      </c>
    </row>
    <row r="45" spans="2:8" ht="24" customHeight="1" x14ac:dyDescent="0.3">
      <c r="B45" s="24" t="s">
        <v>29</v>
      </c>
      <c r="C45" s="28">
        <f>ExpenseTable5[[#This Row],[ACTUAL]]</f>
        <v>0</v>
      </c>
      <c r="D45" s="6"/>
      <c r="E45" s="6"/>
      <c r="F45" s="6">
        <f>ExpenseTable57[[#This Row],[ACTUAL]]-ExpenseTable57[[#This Row],[PROPOSED]]</f>
        <v>0</v>
      </c>
      <c r="G45" s="7">
        <f>ExpenseTable57[[#This Row],[ACTUAL]]-ExpenseTable57[[#This Row],[PRIOR YEAR]]</f>
        <v>0</v>
      </c>
    </row>
    <row r="46" spans="2:8" ht="24" customHeight="1" x14ac:dyDescent="0.3">
      <c r="B46" s="24" t="s">
        <v>26</v>
      </c>
      <c r="C46" s="28">
        <f>ExpenseTable5[[#This Row],[ACTUAL]]</f>
        <v>460</v>
      </c>
      <c r="D46" s="6">
        <v>150</v>
      </c>
      <c r="E46" s="6">
        <v>163.29</v>
      </c>
      <c r="F46" s="6">
        <f>ExpenseTable57[[#This Row],[ACTUAL]]-ExpenseTable57[[#This Row],[PROPOSED]]</f>
        <v>13.289999999999992</v>
      </c>
      <c r="G46" s="7">
        <f>ExpenseTable57[[#This Row],[ACTUAL]]-ExpenseTable57[[#This Row],[PRIOR YEAR]]</f>
        <v>-296.71000000000004</v>
      </c>
    </row>
    <row r="47" spans="2:8" ht="24" customHeight="1" x14ac:dyDescent="0.3">
      <c r="B47" s="25" t="s">
        <v>51</v>
      </c>
      <c r="C47" s="28">
        <f>ExpenseTable5[[#This Row],[ACTUAL]]</f>
        <v>0</v>
      </c>
      <c r="D47" s="6">
        <v>150</v>
      </c>
      <c r="E47" s="6">
        <v>150</v>
      </c>
      <c r="F47" s="6">
        <f>ExpenseTable57[[#This Row],[ACTUAL]]-ExpenseTable57[[#This Row],[PROPOSED]]</f>
        <v>0</v>
      </c>
      <c r="G47" s="7">
        <f>ExpenseTable57[[#This Row],[ACTUAL]]-ExpenseTable57[[#This Row],[PRIOR YEAR]]</f>
        <v>150</v>
      </c>
    </row>
    <row r="48" spans="2:8" ht="24" customHeight="1" x14ac:dyDescent="0.3">
      <c r="B48" s="25" t="s">
        <v>291</v>
      </c>
      <c r="C48" s="41"/>
      <c r="D48" s="6"/>
      <c r="E48" s="6">
        <v>23.8</v>
      </c>
      <c r="F48" s="6">
        <f>ExpenseTable57[[#This Row],[ACTUAL]]-ExpenseTable57[[#This Row],[PROPOSED]]</f>
        <v>23.8</v>
      </c>
      <c r="G48" s="7">
        <f>ExpenseTable57[[#This Row],[ACTUAL]]-ExpenseTable57[[#This Row],[PRIOR YEAR]]</f>
        <v>23.8</v>
      </c>
    </row>
    <row r="49" spans="2:7" ht="24" customHeight="1" x14ac:dyDescent="0.3">
      <c r="B49" s="24" t="s">
        <v>32</v>
      </c>
      <c r="C49" s="28">
        <f>ExpenseTable5[[#This Row],[ACTUAL]]</f>
        <v>0</v>
      </c>
      <c r="D49" s="6">
        <v>150</v>
      </c>
      <c r="E49" s="6">
        <v>150</v>
      </c>
      <c r="F49" s="6">
        <f>ExpenseTable57[[#This Row],[ACTUAL]]-ExpenseTable57[[#This Row],[PROPOSED]]</f>
        <v>0</v>
      </c>
      <c r="G49" s="7">
        <f>ExpenseTable57[[#This Row],[ACTUAL]]-ExpenseTable57[[#This Row],[PRIOR YEAR]]</f>
        <v>150</v>
      </c>
    </row>
    <row r="50" spans="2:7" ht="24" customHeight="1" x14ac:dyDescent="0.3">
      <c r="B50" s="4" t="s">
        <v>33</v>
      </c>
      <c r="C50" s="28"/>
      <c r="D50" s="6">
        <v>1000</v>
      </c>
      <c r="E50" s="6"/>
      <c r="F50" s="6"/>
      <c r="G50" s="7"/>
    </row>
    <row r="51" spans="2:7" ht="24" customHeight="1" x14ac:dyDescent="0.3">
      <c r="B51" s="25" t="s">
        <v>34</v>
      </c>
      <c r="C51" s="28">
        <f>'PTA 2013-2014 Budget'!E46</f>
        <v>460</v>
      </c>
      <c r="D51" s="6"/>
      <c r="E51" s="6">
        <v>198.65</v>
      </c>
      <c r="F51" s="6"/>
      <c r="G51" s="7">
        <f>ExpenseTable57[[#This Row],[ACTUAL]]-ExpenseTable57[[#This Row],[PRIOR YEAR]]</f>
        <v>-261.35000000000002</v>
      </c>
    </row>
    <row r="52" spans="2:7" ht="24" customHeight="1" x14ac:dyDescent="0.3">
      <c r="B52" s="25" t="s">
        <v>21</v>
      </c>
      <c r="C52" s="28">
        <f>'PTA 2013-2014 Budget'!E47</f>
        <v>0</v>
      </c>
      <c r="D52" s="6">
        <v>1500</v>
      </c>
      <c r="E52" s="6">
        <v>1040</v>
      </c>
      <c r="F52" s="6">
        <f>ExpenseTable57[[#This Row],[ACTUAL]]-ExpenseTable57[[#This Row],[PROPOSED]]</f>
        <v>-460</v>
      </c>
      <c r="G52" s="7">
        <f>ExpenseTable57[[#This Row],[ACTUAL]]-ExpenseTable57[[#This Row],[PRIOR YEAR]]</f>
        <v>1040</v>
      </c>
    </row>
    <row r="53" spans="2:7" ht="24" customHeight="1" x14ac:dyDescent="0.3">
      <c r="B53" s="25" t="s">
        <v>289</v>
      </c>
      <c r="C53" s="28">
        <f>'PTA 2013-2014 Budget'!E48</f>
        <v>0</v>
      </c>
      <c r="D53" s="6"/>
      <c r="E53" s="6">
        <f>224.5+222+39.87</f>
        <v>486.37</v>
      </c>
      <c r="F53" s="6">
        <f>ExpenseTable57[[#This Row],[ACTUAL]]-ExpenseTable57[[#This Row],[PROPOSED]]</f>
        <v>486.37</v>
      </c>
      <c r="G53" s="7">
        <f>ExpenseTable57[[#This Row],[ACTUAL]]-ExpenseTable57[[#This Row],[PRIOR YEAR]]</f>
        <v>486.37</v>
      </c>
    </row>
    <row r="54" spans="2:7" ht="24" customHeight="1" x14ac:dyDescent="0.3">
      <c r="B54" s="25" t="s">
        <v>279</v>
      </c>
      <c r="C54" s="41"/>
      <c r="D54" s="6"/>
      <c r="E54" s="6">
        <v>82.91</v>
      </c>
      <c r="F54" s="6">
        <f>ExpenseTable57[[#This Row],[ACTUAL]]-ExpenseTable57[[#This Row],[PROPOSED]]</f>
        <v>82.91</v>
      </c>
      <c r="G54" s="7">
        <f>ExpenseTable57[[#This Row],[ACTUAL]]-ExpenseTable57[[#This Row],[PRIOR YEAR]]</f>
        <v>82.91</v>
      </c>
    </row>
    <row r="55" spans="2:7" ht="24" customHeight="1" x14ac:dyDescent="0.3">
      <c r="B55" s="25" t="s">
        <v>290</v>
      </c>
      <c r="C55" s="41"/>
      <c r="D55" s="6"/>
      <c r="E55" s="6">
        <v>200.25</v>
      </c>
      <c r="F55" s="6">
        <f>ExpenseTable57[[#This Row],[ACTUAL]]-ExpenseTable57[[#This Row],[PROPOSED]]</f>
        <v>200.25</v>
      </c>
      <c r="G55" s="7">
        <f>ExpenseTable57[[#This Row],[ACTUAL]]-ExpenseTable57[[#This Row],[PRIOR YEAR]]</f>
        <v>200.25</v>
      </c>
    </row>
    <row r="56" spans="2:7" ht="24" customHeight="1" x14ac:dyDescent="0.3">
      <c r="B56" s="4" t="s">
        <v>38</v>
      </c>
      <c r="C56" s="28">
        <f>'PTA 2013-2014 Budget'!E49</f>
        <v>0</v>
      </c>
      <c r="D56" s="6">
        <f>300-125</f>
        <v>175</v>
      </c>
      <c r="E56" s="6">
        <v>94.24</v>
      </c>
      <c r="F56" s="6">
        <f>ExpenseTable57[[#This Row],[ACTUAL]]-ExpenseTable57[[#This Row],[PROPOSED]]</f>
        <v>-80.760000000000005</v>
      </c>
      <c r="G56" s="7">
        <f>ExpenseTable57[[#This Row],[ACTUAL]]-ExpenseTable57[[#This Row],[PRIOR YEAR]]</f>
        <v>94.24</v>
      </c>
    </row>
    <row r="57" spans="2:7" ht="24" customHeight="1" x14ac:dyDescent="0.3">
      <c r="B57" s="25" t="s">
        <v>39</v>
      </c>
      <c r="C57" s="28">
        <f>'PTA 2013-2014 Budget'!E50</f>
        <v>0</v>
      </c>
      <c r="D57" s="6"/>
      <c r="E57" s="6"/>
      <c r="F57" s="6">
        <f>ExpenseTable57[[#This Row],[ACTUAL]]-ExpenseTable57[[#This Row],[PROPOSED]]</f>
        <v>0</v>
      </c>
      <c r="G57" s="7">
        <f>ExpenseTable57[[#This Row],[ACTUAL]]-ExpenseTable57[[#This Row],[PRIOR YEAR]]</f>
        <v>0</v>
      </c>
    </row>
    <row r="58" spans="2:7" ht="24" customHeight="1" x14ac:dyDescent="0.3">
      <c r="B58" s="25" t="s">
        <v>40</v>
      </c>
      <c r="C58" s="28">
        <f>'PTA 2013-2014 Budget'!E51</f>
        <v>50</v>
      </c>
      <c r="D58" s="6"/>
      <c r="E58" s="6">
        <f>94.24-21</f>
        <v>73.239999999999995</v>
      </c>
      <c r="F58" s="6">
        <f>ExpenseTable57[[#This Row],[ACTUAL]]-ExpenseTable57[[#This Row],[PROPOSED]]</f>
        <v>73.239999999999995</v>
      </c>
      <c r="G58" s="7">
        <f>ExpenseTable57[[#This Row],[ACTUAL]]-ExpenseTable57[[#This Row],[PRIOR YEAR]]</f>
        <v>23.239999999999995</v>
      </c>
    </row>
    <row r="59" spans="2:7" ht="24" customHeight="1" x14ac:dyDescent="0.3">
      <c r="B59" s="25" t="s">
        <v>52</v>
      </c>
      <c r="C59" s="28">
        <f>'PTA 2013-2014 Budget'!E52</f>
        <v>30</v>
      </c>
      <c r="D59" s="6"/>
      <c r="E59" s="6"/>
      <c r="F59" s="6">
        <f>ExpenseTable57[[#This Row],[ACTUAL]]-ExpenseTable57[[#This Row],[PROPOSED]]</f>
        <v>0</v>
      </c>
      <c r="G59" s="7">
        <f>ExpenseTable57[[#This Row],[ACTUAL]]-ExpenseTable57[[#This Row],[PRIOR YEAR]]</f>
        <v>-30</v>
      </c>
    </row>
    <row r="60" spans="2:7" ht="24" customHeight="1" x14ac:dyDescent="0.3">
      <c r="B60" s="25" t="s">
        <v>31</v>
      </c>
      <c r="C60" s="28">
        <v>300</v>
      </c>
      <c r="D60" s="6"/>
      <c r="E60" s="6">
        <v>21</v>
      </c>
      <c r="F60" s="6">
        <f>ExpenseTable57[[#This Row],[ACTUAL]]-ExpenseTable57[[#This Row],[PROPOSED]]</f>
        <v>21</v>
      </c>
      <c r="G60" s="7">
        <f>ExpenseTable57[[#This Row],[ACTUAL]]-ExpenseTable57[[#This Row],[PRIOR YEAR]]</f>
        <v>-279</v>
      </c>
    </row>
    <row r="61" spans="2:7" ht="24" customHeight="1" x14ac:dyDescent="0.3">
      <c r="B61" s="4" t="s">
        <v>35</v>
      </c>
      <c r="C61" s="28"/>
      <c r="D61" s="6"/>
      <c r="E61" s="6"/>
      <c r="F61" s="6"/>
      <c r="G61" s="7"/>
    </row>
    <row r="62" spans="2:7" ht="24" customHeight="1" x14ac:dyDescent="0.3">
      <c r="B62" s="25" t="s">
        <v>258</v>
      </c>
      <c r="C62" s="41"/>
      <c r="D62" s="6">
        <v>100</v>
      </c>
      <c r="E62" s="6">
        <v>76.099999999999994</v>
      </c>
      <c r="F62" s="6">
        <f>ExpenseTable57[[#This Row],[ACTUAL]]-ExpenseTable57[[#This Row],[PROPOSED]]</f>
        <v>-23.900000000000006</v>
      </c>
      <c r="G62" s="7">
        <f>ExpenseTable57[[#This Row],[ACTUAL]]-ExpenseTable57[[#This Row],[PRIOR YEAR]]</f>
        <v>76.099999999999994</v>
      </c>
    </row>
    <row r="63" spans="2:7" ht="24" customHeight="1" x14ac:dyDescent="0.3">
      <c r="B63" s="25" t="s">
        <v>304</v>
      </c>
      <c r="C63" s="41"/>
      <c r="D63" s="6"/>
      <c r="E63" s="6">
        <v>1724.84</v>
      </c>
      <c r="F63" s="6">
        <f>ExpenseTable57[[#This Row],[ACTUAL]]-ExpenseTable57[[#This Row],[PROPOSED]]</f>
        <v>1724.84</v>
      </c>
      <c r="G63" s="7">
        <f>ExpenseTable57[[#This Row],[ACTUAL]]-ExpenseTable57[[#This Row],[PRIOR YEAR]]</f>
        <v>1724.84</v>
      </c>
    </row>
    <row r="64" spans="2:7" ht="24" customHeight="1" x14ac:dyDescent="0.3">
      <c r="B64" s="25" t="s">
        <v>240</v>
      </c>
      <c r="C64" s="28">
        <f>'PTA 2013-2014 Budget'!E54</f>
        <v>80</v>
      </c>
      <c r="D64" s="6">
        <v>180</v>
      </c>
      <c r="E64" s="6">
        <v>542.64</v>
      </c>
      <c r="F64" s="6">
        <f>ExpenseTable57[[#This Row],[ACTUAL]]-ExpenseTable57[[#This Row],[PROPOSED]]</f>
        <v>362.64</v>
      </c>
      <c r="G64" s="7">
        <f>ExpenseTable57[[#This Row],[ACTUAL]]-ExpenseTable57[[#This Row],[PRIOR YEAR]]</f>
        <v>462.64</v>
      </c>
    </row>
    <row r="65" spans="2:7" ht="24" customHeight="1" x14ac:dyDescent="0.3">
      <c r="B65" s="24" t="s">
        <v>241</v>
      </c>
      <c r="C65" s="28">
        <f>'PTA 2013-2014 Budget'!E55</f>
        <v>56</v>
      </c>
      <c r="D65" s="6">
        <f>40*4</f>
        <v>160</v>
      </c>
      <c r="E65" s="6">
        <f>101.25+78.75</f>
        <v>180</v>
      </c>
      <c r="F65" s="6">
        <f>ExpenseTable57[[#This Row],[ACTUAL]]-ExpenseTable57[[#This Row],[PROPOSED]]</f>
        <v>20</v>
      </c>
      <c r="G65" s="7">
        <f>ExpenseTable57[[#This Row],[ACTUAL]]-ExpenseTable57[[#This Row],[PRIOR YEAR]]</f>
        <v>124</v>
      </c>
    </row>
    <row r="66" spans="2:7" ht="24" customHeight="1" x14ac:dyDescent="0.3">
      <c r="B66" s="25" t="s">
        <v>48</v>
      </c>
      <c r="C66" s="28">
        <f>'PTA 2013-2014 Budget'!E56</f>
        <v>0</v>
      </c>
      <c r="D66" s="6"/>
      <c r="E66" s="6"/>
      <c r="F66" s="6">
        <f>ExpenseTable57[[#This Row],[ACTUAL]]-ExpenseTable57[[#This Row],[PROPOSED]]</f>
        <v>0</v>
      </c>
      <c r="G66" s="7">
        <f>ExpenseTable57[[#This Row],[ACTUAL]]-ExpenseTable57[[#This Row],[PRIOR YEAR]]</f>
        <v>0</v>
      </c>
    </row>
    <row r="67" spans="2:7" ht="24" customHeight="1" x14ac:dyDescent="0.3">
      <c r="B67" s="25" t="s">
        <v>2</v>
      </c>
      <c r="C67" s="28">
        <f>'PTA 2013-2014 Budget'!E57</f>
        <v>235</v>
      </c>
      <c r="D67" s="6">
        <v>235</v>
      </c>
      <c r="E67" s="6">
        <v>255</v>
      </c>
      <c r="F67" s="6">
        <f>ExpenseTable57[[#This Row],[ACTUAL]]-ExpenseTable57[[#This Row],[PROPOSED]]</f>
        <v>20</v>
      </c>
      <c r="G67" s="7">
        <f>ExpenseTable57[[#This Row],[ACTUAL]]-ExpenseTable57[[#This Row],[PRIOR YEAR]]</f>
        <v>20</v>
      </c>
    </row>
    <row r="68" spans="2:7" ht="24" customHeight="1" x14ac:dyDescent="0.3">
      <c r="B68" s="25" t="s">
        <v>53</v>
      </c>
      <c r="C68" s="28">
        <f>'PTA 2013-2014 Budget'!E58</f>
        <v>750</v>
      </c>
      <c r="D68" s="6"/>
      <c r="E68" s="6"/>
      <c r="F68" s="6">
        <f>ExpenseTable57[[#This Row],[ACTUAL]]-ExpenseTable57[[#This Row],[PROPOSED]]</f>
        <v>0</v>
      </c>
      <c r="G68" s="7">
        <f>ExpenseTable57[[#This Row],[ACTUAL]]-ExpenseTable57[[#This Row],[PRIOR YEAR]]</f>
        <v>-750</v>
      </c>
    </row>
    <row r="69" spans="2:7" ht="24" customHeight="1" x14ac:dyDescent="0.3">
      <c r="B69" s="25" t="s">
        <v>232</v>
      </c>
      <c r="C69" s="28">
        <f>'PTA 2013-2014 Budget'!E59</f>
        <v>200</v>
      </c>
      <c r="D69" s="6">
        <v>300</v>
      </c>
      <c r="E69" s="6">
        <v>0</v>
      </c>
      <c r="F69" s="6">
        <f>ExpenseTable57[[#This Row],[ACTUAL]]-ExpenseTable57[[#This Row],[PROPOSED]]</f>
        <v>-300</v>
      </c>
      <c r="G69" s="7">
        <f>ExpenseTable57[[#This Row],[ACTUAL]]-ExpenseTable57[[#This Row],[PRIOR YEAR]]</f>
        <v>-200</v>
      </c>
    </row>
    <row r="70" spans="2:7" ht="24" customHeight="1" x14ac:dyDescent="0.3">
      <c r="B70" s="25" t="s">
        <v>47</v>
      </c>
      <c r="C70" s="28">
        <f>'PTA 2013-2014 Budget'!E60</f>
        <v>270</v>
      </c>
      <c r="D70" s="6">
        <v>270</v>
      </c>
      <c r="E70" s="6">
        <v>210</v>
      </c>
      <c r="F70" s="6">
        <f>ExpenseTable57[[#This Row],[ACTUAL]]-ExpenseTable57[[#This Row],[PROPOSED]]</f>
        <v>-60</v>
      </c>
      <c r="G70" s="7">
        <f>ExpenseTable57[[#This Row],[ACTUAL]]-ExpenseTable57[[#This Row],[PRIOR YEAR]]</f>
        <v>-60</v>
      </c>
    </row>
    <row r="71" spans="2:7" ht="24" customHeight="1" x14ac:dyDescent="0.3">
      <c r="B71" s="25" t="s">
        <v>3</v>
      </c>
      <c r="C71" s="28">
        <f>'PTA 2013-2014 Budget'!E61</f>
        <v>8.75</v>
      </c>
      <c r="D71" s="6">
        <v>10</v>
      </c>
      <c r="E71" s="6">
        <v>12.62</v>
      </c>
      <c r="F71" s="6">
        <f>ExpenseTable57[[#This Row],[ACTUAL]]-ExpenseTable57[[#This Row],[PROPOSED]]</f>
        <v>2.6199999999999992</v>
      </c>
      <c r="G71" s="7">
        <f>ExpenseTable57[[#This Row],[ACTUAL]]-ExpenseTable57[[#This Row],[PRIOR YEAR]]</f>
        <v>3.8699999999999992</v>
      </c>
    </row>
    <row r="72" spans="2:7" ht="24" customHeight="1" x14ac:dyDescent="0.3">
      <c r="B72" s="25" t="s">
        <v>0</v>
      </c>
      <c r="C72" s="28">
        <f>'PTA 2013-2014 Budget'!E62</f>
        <v>115.04</v>
      </c>
      <c r="D72" s="6">
        <v>10</v>
      </c>
      <c r="E72" s="6">
        <v>280</v>
      </c>
      <c r="F72" s="6">
        <f>ExpenseTable57[[#This Row],[ACTUAL]]-ExpenseTable57[[#This Row],[PROPOSED]]</f>
        <v>270</v>
      </c>
      <c r="G72" s="7">
        <f>ExpenseTable57[[#This Row],[ACTUAL]]-ExpenseTable57[[#This Row],[PRIOR YEAR]]</f>
        <v>164.95999999999998</v>
      </c>
    </row>
    <row r="73" spans="2:7" ht="24" customHeight="1" x14ac:dyDescent="0.3">
      <c r="B73" s="4" t="s">
        <v>10</v>
      </c>
      <c r="C73" s="8">
        <f>SUBTOTAL(109,ExpenseTable57[PRIOR YEAR])</f>
        <v>5648.78</v>
      </c>
      <c r="D73" s="8">
        <f>SUBTOTAL(109,ExpenseTable57[PROPOSED])</f>
        <v>9500</v>
      </c>
      <c r="E73" s="8">
        <f>SUM(E35:E72) - (E50+E56)</f>
        <v>10502.119999999999</v>
      </c>
      <c r="F73" s="8">
        <f>ExpenseTable57[[#Totals],[PROPOSED]]-ExpenseTable57[[#Totals],[ACTUAL]]</f>
        <v>-1002.119999999999</v>
      </c>
      <c r="G73" s="9">
        <f>SUBTOTAL(109,ExpenseTable57[+/- PRIOR YEAR])</f>
        <v>4947.579999999999</v>
      </c>
    </row>
    <row r="74" spans="2:7" ht="24" customHeight="1" x14ac:dyDescent="0.3">
      <c r="B74" s="1" t="s">
        <v>250</v>
      </c>
    </row>
  </sheetData>
  <mergeCells count="2">
    <mergeCell ref="B21:G21"/>
    <mergeCell ref="B29:F29"/>
  </mergeCells>
  <conditionalFormatting sqref="C11:G20 C64:G73 C34:G61">
    <cfRule type="expression" dxfId="25" priority="2">
      <formula>C11&lt;0</formula>
    </cfRule>
  </conditionalFormatting>
  <conditionalFormatting sqref="C62:G63">
    <cfRule type="expression" dxfId="24" priority="1">
      <formula>C62&lt;0</formula>
    </cfRule>
  </conditionalFormatting>
  <printOptions horizontalCentered="1"/>
  <pageMargins left="0.25" right="0.25" top="0.5" bottom="0.5" header="0.3" footer="0.3"/>
  <pageSetup scale="73" fitToHeight="0" orientation="portrait" r:id="rId1"/>
  <headerFooter differentFirst="1">
    <oddFooter>Page &amp;P of &amp;N</oddFooter>
  </headerFooter>
  <rowBreaks count="2" manualBreakCount="2">
    <brk id="24" max="16383" man="1"/>
    <brk id="25" max="16383" man="1"/>
  </rowBreaks>
  <drawing r:id="rId2"/>
  <picture r:id="rId3"/>
  <tableParts count="2"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H72"/>
  <sheetViews>
    <sheetView showGridLines="0" topLeftCell="A49" zoomScale="80" zoomScaleNormal="80" workbookViewId="0">
      <selection activeCell="J73" sqref="J73"/>
    </sheetView>
  </sheetViews>
  <sheetFormatPr defaultColWidth="8.6640625" defaultRowHeight="24" customHeight="1" x14ac:dyDescent="0.3"/>
  <cols>
    <col min="1" max="1" width="2.6640625" style="1" customWidth="1"/>
    <col min="2" max="2" width="39.88671875" style="1" customWidth="1"/>
    <col min="3" max="7" width="18.6640625" style="1" customWidth="1"/>
    <col min="8" max="8" width="2.6640625" style="1" customWidth="1"/>
    <col min="9" max="16384" width="8.6640625" style="1"/>
  </cols>
  <sheetData>
    <row r="1" spans="2:7" ht="58.5" customHeight="1" x14ac:dyDescent="0.85">
      <c r="B1" s="3" t="s">
        <v>12</v>
      </c>
      <c r="F1" s="10" t="s">
        <v>13</v>
      </c>
      <c r="G1" s="2" t="s">
        <v>309</v>
      </c>
    </row>
    <row r="2" spans="2:7" ht="24" customHeight="1" x14ac:dyDescent="0.85">
      <c r="B2" s="3"/>
      <c r="F2" s="10"/>
      <c r="G2" s="2"/>
    </row>
    <row r="9" spans="2:7" ht="24" customHeight="1" x14ac:dyDescent="0.35">
      <c r="B9" s="63"/>
      <c r="C9" s="18" t="s">
        <v>305</v>
      </c>
      <c r="D9" s="18" t="s">
        <v>310</v>
      </c>
      <c r="E9" s="18" t="s">
        <v>310</v>
      </c>
      <c r="F9" s="18" t="s">
        <v>310</v>
      </c>
      <c r="G9" s="18" t="s">
        <v>305</v>
      </c>
    </row>
    <row r="10" spans="2:7" ht="24" customHeight="1" x14ac:dyDescent="0.3">
      <c r="B10" s="21" t="s">
        <v>8</v>
      </c>
      <c r="C10" s="19" t="s">
        <v>4</v>
      </c>
      <c r="D10" s="19" t="s">
        <v>5</v>
      </c>
      <c r="E10" s="19" t="s">
        <v>6</v>
      </c>
      <c r="F10" s="19" t="s">
        <v>11</v>
      </c>
      <c r="G10" s="20" t="s">
        <v>7</v>
      </c>
    </row>
    <row r="11" spans="2:7" ht="24" customHeight="1" x14ac:dyDescent="0.3">
      <c r="B11" s="11" t="s">
        <v>17</v>
      </c>
      <c r="C11" s="12">
        <v>270</v>
      </c>
      <c r="D11" s="12">
        <v>450</v>
      </c>
      <c r="E11" s="12">
        <v>220</v>
      </c>
      <c r="F11" s="12">
        <f>RevenueTable463[[#This Row],[ACTUAL]]-RevenueTable463[[#This Row],[PROPOSED]]</f>
        <v>-230</v>
      </c>
      <c r="G11" s="13">
        <f>RevenueTable463[[#This Row],[ACTUAL]]-RevenueTable463[[#This Row],[PRIOR YEAR]]</f>
        <v>-50</v>
      </c>
    </row>
    <row r="12" spans="2:7" ht="24" customHeight="1" x14ac:dyDescent="0.3">
      <c r="B12" s="11" t="s">
        <v>18</v>
      </c>
      <c r="C12" s="12">
        <f>2668.63+781.33+1534.95+675.6+158.19+116.38+438.67+53+363</f>
        <v>6789.75</v>
      </c>
      <c r="D12" s="12">
        <f>3000+2000+2500+700+1000</f>
        <v>9200</v>
      </c>
      <c r="E12" s="12">
        <f>3861.54+1936.5+89.5+391+120+55+195</f>
        <v>6648.54</v>
      </c>
      <c r="F12" s="12">
        <f>RevenueTable463[[#This Row],[ACTUAL]]-RevenueTable463[[#This Row],[PROPOSED]]</f>
        <v>-2551.46</v>
      </c>
      <c r="G12" s="13">
        <f>RevenueTable463[[#This Row],[ACTUAL]]-RevenueTable463[[#This Row],[PRIOR YEAR]]</f>
        <v>-141.21000000000004</v>
      </c>
    </row>
    <row r="13" spans="2:7" ht="24" customHeight="1" x14ac:dyDescent="0.3">
      <c r="B13" s="11" t="s">
        <v>1</v>
      </c>
      <c r="C13" s="12">
        <v>88</v>
      </c>
      <c r="D13" s="12"/>
      <c r="E13" s="12">
        <v>45</v>
      </c>
      <c r="F13" s="12">
        <f>RevenueTable463[[#This Row],[ACTUAL]]-RevenueTable463[[#This Row],[PROPOSED]]</f>
        <v>45</v>
      </c>
      <c r="G13" s="13">
        <f>RevenueTable463[[#This Row],[ACTUAL]]-RevenueTable463[[#This Row],[PRIOR YEAR]]</f>
        <v>-43</v>
      </c>
    </row>
    <row r="14" spans="2:7" ht="24" customHeight="1" x14ac:dyDescent="0.3">
      <c r="B14" s="23" t="s">
        <v>75</v>
      </c>
      <c r="C14" s="12"/>
      <c r="D14" s="12"/>
      <c r="E14" s="12"/>
      <c r="F14" s="12">
        <f>RevenueTable463[[#This Row],[ACTUAL]]-RevenueTable463[[#This Row],[PROPOSED]]</f>
        <v>0</v>
      </c>
      <c r="G14" s="13">
        <f>RevenueTable463[[#This Row],[ACTUAL]]-RevenueTable463[[#This Row],[PRIOR YEAR]]</f>
        <v>0</v>
      </c>
    </row>
    <row r="15" spans="2:7" ht="24" customHeight="1" x14ac:dyDescent="0.3">
      <c r="B15" s="23" t="s">
        <v>311</v>
      </c>
      <c r="C15" s="12"/>
      <c r="D15" s="12"/>
      <c r="E15" s="12">
        <v>2224.5500000000002</v>
      </c>
      <c r="F15" s="12">
        <f>RevenueTable463[[#This Row],[ACTUAL]]-RevenueTable463[[#This Row],[PROPOSED]]</f>
        <v>2224.5500000000002</v>
      </c>
      <c r="G15" s="13">
        <f>RevenueTable463[[#This Row],[ACTUAL]]-RevenueTable463[[#This Row],[PRIOR YEAR]]</f>
        <v>2224.5500000000002</v>
      </c>
    </row>
    <row r="16" spans="2:7" ht="24" hidden="1" customHeight="1" x14ac:dyDescent="0.3">
      <c r="B16" s="23" t="s">
        <v>24</v>
      </c>
      <c r="C16" s="12"/>
      <c r="D16" s="12"/>
      <c r="E16" s="12"/>
      <c r="F16" s="12">
        <f>RevenueTable463[[#This Row],[ACTUAL]]-RevenueTable463[[#This Row],[PROPOSED]]</f>
        <v>0</v>
      </c>
      <c r="G16" s="13">
        <f>RevenueTable463[[#This Row],[ACTUAL]]-RevenueTable463[[#This Row],[PRIOR YEAR]]</f>
        <v>0</v>
      </c>
    </row>
    <row r="17" spans="2:7" ht="24" customHeight="1" x14ac:dyDescent="0.3">
      <c r="B17" s="23" t="s">
        <v>245</v>
      </c>
      <c r="C17" s="12">
        <v>1500</v>
      </c>
      <c r="D17" s="12">
        <v>1500</v>
      </c>
      <c r="E17" s="12">
        <v>1500</v>
      </c>
      <c r="F17" s="12">
        <f>RevenueTable463[[#This Row],[ACTUAL]]-RevenueTable463[[#This Row],[PROPOSED]]</f>
        <v>0</v>
      </c>
      <c r="G17" s="13">
        <f>RevenueTable463[[#This Row],[ACTUAL]]-RevenueTable463[[#This Row],[PRIOR YEAR]]</f>
        <v>0</v>
      </c>
    </row>
    <row r="18" spans="2:7" ht="24" customHeight="1" x14ac:dyDescent="0.3">
      <c r="B18" s="11" t="s">
        <v>244</v>
      </c>
      <c r="C18" s="12"/>
      <c r="D18" s="12">
        <f>12764-1500-9200-450</f>
        <v>1614</v>
      </c>
      <c r="E18" s="12">
        <f>2000.26+1362.4</f>
        <v>3362.66</v>
      </c>
      <c r="F18" s="12">
        <f>RevenueTable463[[#This Row],[ACTUAL]]-RevenueTable463[[#This Row],[PROPOSED]]</f>
        <v>1748.6599999999999</v>
      </c>
      <c r="G18" s="13">
        <f>RevenueTable463[[#This Row],[ACTUAL]]-RevenueTable463[[#This Row],[PRIOR YEAR]]</f>
        <v>3362.66</v>
      </c>
    </row>
    <row r="19" spans="2:7" ht="24" customHeight="1" x14ac:dyDescent="0.3">
      <c r="B19" s="11" t="s">
        <v>0</v>
      </c>
      <c r="C19" s="12">
        <f>1240.92+390</f>
        <v>1630.92</v>
      </c>
      <c r="D19" s="12"/>
      <c r="E19" s="12">
        <f>(919-638)</f>
        <v>281</v>
      </c>
      <c r="F19" s="12">
        <f>RevenueTable463[[#This Row],[ACTUAL]]-RevenueTable463[[#This Row],[PROPOSED]]</f>
        <v>281</v>
      </c>
      <c r="G19" s="13">
        <f>RevenueTable463[[#This Row],[ACTUAL]]-RevenueTable463[[#This Row],[PRIOR YEAR]]</f>
        <v>-1349.92</v>
      </c>
    </row>
    <row r="20" spans="2:7" ht="24" customHeight="1" x14ac:dyDescent="0.3">
      <c r="B20" s="68" t="s">
        <v>10</v>
      </c>
      <c r="C20" s="69">
        <f>SUBTOTAL(109,RevenueTable463[PRIOR YEAR])</f>
        <v>10278.67</v>
      </c>
      <c r="D20" s="69">
        <f>SUBTOTAL(109,RevenueTable463[PROPOSED])</f>
        <v>12764</v>
      </c>
      <c r="E20" s="69">
        <f>SUBTOTAL(109,RevenueTable463[ACTUAL])</f>
        <v>14281.75</v>
      </c>
      <c r="F20" s="69">
        <f>SUBTOTAL(109,RevenueTable463[VARIANCE])</f>
        <v>1517.75</v>
      </c>
      <c r="G20" s="70">
        <f>SUBTOTAL(109,RevenueTable463[+/- PRIOR YEAR])</f>
        <v>4003.08</v>
      </c>
    </row>
    <row r="21" spans="2:7" s="63" customFormat="1" ht="24" customHeight="1" x14ac:dyDescent="0.3">
      <c r="B21" s="74" t="s">
        <v>243</v>
      </c>
      <c r="C21" s="74"/>
      <c r="D21" s="74"/>
      <c r="E21" s="74"/>
      <c r="F21" s="74"/>
      <c r="G21" s="74"/>
    </row>
    <row r="22" spans="2:7" s="63" customFormat="1" ht="24" customHeight="1" x14ac:dyDescent="0.3">
      <c r="B22" s="54"/>
      <c r="C22" s="53"/>
      <c r="D22" s="64"/>
      <c r="E22" s="64"/>
      <c r="F22" s="64"/>
      <c r="G22" s="64"/>
    </row>
    <row r="23" spans="2:7" s="63" customFormat="1" ht="24" customHeight="1" x14ac:dyDescent="0.3">
      <c r="B23" s="54" t="s">
        <v>24</v>
      </c>
      <c r="C23" s="53">
        <v>8027.5</v>
      </c>
      <c r="D23" s="64"/>
      <c r="E23" s="64"/>
      <c r="F23" s="64"/>
      <c r="G23" s="64"/>
    </row>
    <row r="24" spans="2:7" s="63" customFormat="1" ht="24" customHeight="1" x14ac:dyDescent="0.3">
      <c r="B24" s="54"/>
      <c r="C24" s="53"/>
      <c r="D24" s="55"/>
      <c r="E24" s="64"/>
      <c r="F24" s="64"/>
      <c r="G24" s="64"/>
    </row>
    <row r="25" spans="2:7" s="63" customFormat="1" ht="24" customHeight="1" x14ac:dyDescent="0.3">
      <c r="B25" s="15"/>
      <c r="C25" s="16"/>
      <c r="D25" s="16"/>
      <c r="E25" s="16"/>
      <c r="F25" s="16"/>
      <c r="G25" s="17"/>
    </row>
    <row r="26" spans="2:7" s="63" customFormat="1" ht="24" customHeight="1" x14ac:dyDescent="0.3">
      <c r="B26" s="15"/>
      <c r="C26" s="16"/>
      <c r="D26" s="16"/>
      <c r="E26" s="16"/>
      <c r="F26" s="16"/>
      <c r="G26" s="17"/>
    </row>
    <row r="27" spans="2:7" s="63" customFormat="1" ht="24" customHeight="1" x14ac:dyDescent="0.3">
      <c r="B27" s="15"/>
      <c r="C27" s="16"/>
      <c r="D27" s="16"/>
      <c r="E27" s="16"/>
      <c r="F27" s="16"/>
      <c r="G27" s="17"/>
    </row>
    <row r="28" spans="2:7" s="63" customFormat="1" ht="24" customHeight="1" x14ac:dyDescent="0.3">
      <c r="B28" s="15"/>
      <c r="C28" s="16"/>
      <c r="D28" s="16"/>
      <c r="E28" s="16"/>
      <c r="F28" s="16"/>
      <c r="G28" s="17"/>
    </row>
    <row r="29" spans="2:7" s="63" customFormat="1" ht="24" customHeight="1" x14ac:dyDescent="0.3">
      <c r="B29" s="73"/>
      <c r="C29" s="73"/>
      <c r="D29" s="73"/>
      <c r="E29" s="73"/>
      <c r="F29" s="73"/>
    </row>
    <row r="32" spans="2:7" ht="24" customHeight="1" x14ac:dyDescent="0.35">
      <c r="C32" s="18" t="str">
        <f>C9</f>
        <v>SY 2015-2016</v>
      </c>
      <c r="D32" s="18" t="str">
        <f>D9</f>
        <v>SY 2016-2017</v>
      </c>
      <c r="E32" s="18" t="str">
        <f>E9</f>
        <v>SY 2016-2017</v>
      </c>
      <c r="F32" s="18" t="str">
        <f>F9</f>
        <v>SY 2016-2017</v>
      </c>
      <c r="G32" s="18" t="str">
        <f>G9</f>
        <v>SY 2015-2016</v>
      </c>
    </row>
    <row r="33" spans="2:8" ht="24" customHeight="1" x14ac:dyDescent="0.3">
      <c r="B33" s="5" t="s">
        <v>9</v>
      </c>
      <c r="C33" s="19" t="s">
        <v>4</v>
      </c>
      <c r="D33" s="19" t="s">
        <v>5</v>
      </c>
      <c r="E33" s="19" t="s">
        <v>6</v>
      </c>
      <c r="F33" s="19" t="s">
        <v>11</v>
      </c>
      <c r="G33" s="20" t="s">
        <v>7</v>
      </c>
    </row>
    <row r="34" spans="2:8" ht="24" customHeight="1" x14ac:dyDescent="0.3">
      <c r="B34" s="26" t="s">
        <v>41</v>
      </c>
      <c r="C34" s="28">
        <v>2437.23</v>
      </c>
      <c r="D34" s="28">
        <v>4790</v>
      </c>
      <c r="E34" s="28">
        <v>5410.27</v>
      </c>
      <c r="F34" s="28">
        <f>ExpenseTable578[[#This Row],[ACTUAL]]-ExpenseTable578[[#This Row],[PROPOSED]]</f>
        <v>620.27000000000044</v>
      </c>
      <c r="G34" s="29">
        <f>ExpenseTable578[[#This Row],[ACTUAL]]-ExpenseTable578[[#This Row],[PRIOR YEAR]]</f>
        <v>2973.0400000000004</v>
      </c>
      <c r="H34" s="57"/>
    </row>
    <row r="35" spans="2:8" ht="24" customHeight="1" x14ac:dyDescent="0.3">
      <c r="B35" s="27" t="s">
        <v>242</v>
      </c>
      <c r="C35" s="28">
        <v>2125.3000000000002</v>
      </c>
      <c r="D35" s="28">
        <v>4587.43</v>
      </c>
      <c r="E35" s="28">
        <v>4440</v>
      </c>
      <c r="F35" s="28">
        <f>ExpenseTable578[[#This Row],[ACTUAL]]-ExpenseTable578[[#This Row],[PROPOSED]]</f>
        <v>-147.43000000000029</v>
      </c>
      <c r="G35" s="29">
        <f>ExpenseTable578[[#This Row],[ACTUAL]]-ExpenseTable578[[#This Row],[PRIOR YEAR]]</f>
        <v>2314.6999999999998</v>
      </c>
    </row>
    <row r="36" spans="2:8" ht="24" hidden="1" customHeight="1" x14ac:dyDescent="0.3">
      <c r="B36" s="27" t="s">
        <v>43</v>
      </c>
      <c r="C36" s="28"/>
      <c r="D36" s="28"/>
      <c r="E36" s="28"/>
      <c r="F36" s="28">
        <f>ExpenseTable578[[#This Row],[ACTUAL]]-ExpenseTable578[[#This Row],[PROPOSED]]</f>
        <v>0</v>
      </c>
      <c r="G36" s="29">
        <f>ExpenseTable578[[#This Row],[ACTUAL]]-ExpenseTable578[[#This Row],[PRIOR YEAR]]</f>
        <v>0</v>
      </c>
    </row>
    <row r="37" spans="2:8" ht="24" hidden="1" customHeight="1" x14ac:dyDescent="0.3">
      <c r="B37" s="27" t="s">
        <v>229</v>
      </c>
      <c r="C37" s="28"/>
      <c r="D37" s="28"/>
      <c r="E37" s="28"/>
      <c r="F37" s="28">
        <f>ExpenseTable578[[#This Row],[ACTUAL]]-ExpenseTable578[[#This Row],[PROPOSED]]</f>
        <v>0</v>
      </c>
      <c r="G37" s="29">
        <f>ExpenseTable578[[#This Row],[ACTUAL]]-ExpenseTable578[[#This Row],[PRIOR YEAR]]</f>
        <v>0</v>
      </c>
    </row>
    <row r="38" spans="2:8" ht="24" hidden="1" customHeight="1" x14ac:dyDescent="0.3">
      <c r="B38" s="27" t="s">
        <v>45</v>
      </c>
      <c r="C38" s="30"/>
      <c r="D38" s="30"/>
      <c r="E38" s="30"/>
      <c r="F38" s="30">
        <f>ExpenseTable578[[#This Row],[ACTUAL]]-ExpenseTable578[[#This Row],[PROPOSED]]</f>
        <v>0</v>
      </c>
      <c r="G38" s="31">
        <f>ExpenseTable578[[#This Row],[ACTUAL]]-ExpenseTable578[[#This Row],[PRIOR YEAR]]</f>
        <v>0</v>
      </c>
    </row>
    <row r="39" spans="2:8" ht="24" customHeight="1" x14ac:dyDescent="0.3">
      <c r="B39" s="27" t="s">
        <v>231</v>
      </c>
      <c r="C39" s="28">
        <v>347.93</v>
      </c>
      <c r="D39" s="28">
        <v>822.84</v>
      </c>
      <c r="E39" s="28">
        <v>350</v>
      </c>
      <c r="F39" s="28">
        <f>ExpenseTable578[[#This Row],[ACTUAL]]-ExpenseTable578[[#This Row],[PROPOSED]]</f>
        <v>-472.84000000000003</v>
      </c>
      <c r="G39" s="29">
        <f>ExpenseTable578[[#This Row],[ACTUAL]]-ExpenseTable578[[#This Row],[PRIOR YEAR]]</f>
        <v>2.0699999999999932</v>
      </c>
    </row>
    <row r="40" spans="2:8" ht="24" customHeight="1" x14ac:dyDescent="0.3">
      <c r="B40" s="4" t="s">
        <v>37</v>
      </c>
      <c r="C40" s="6">
        <f>SUM(C41:C52)</f>
        <v>838.88</v>
      </c>
      <c r="D40" s="6">
        <f>SUM(D41:D52)</f>
        <v>4600</v>
      </c>
      <c r="E40" s="6">
        <f>SUM(E42:E52)</f>
        <v>4035</v>
      </c>
      <c r="F40" s="28">
        <f>ExpenseTable578[[#This Row],[ACTUAL]]-ExpenseTable578[[#This Row],[PROPOSED]]</f>
        <v>-565</v>
      </c>
      <c r="G40" s="29">
        <f>ExpenseTable578[[#This Row],[ACTUAL]]-ExpenseTable578[[#This Row],[PRIOR YEAR]]</f>
        <v>3196.12</v>
      </c>
    </row>
    <row r="41" spans="2:8" ht="24" customHeight="1" x14ac:dyDescent="0.3">
      <c r="B41" s="25" t="s">
        <v>230</v>
      </c>
      <c r="C41" s="6"/>
      <c r="D41" s="6"/>
      <c r="E41" s="6"/>
      <c r="F41" s="6">
        <f>ExpenseTable578[[#This Row],[ACTUAL]]-ExpenseTable578[[#This Row],[PROPOSED]]</f>
        <v>0</v>
      </c>
      <c r="G41" s="7">
        <f>ExpenseTable578[[#This Row],[ACTUAL]]-ExpenseTable578[[#This Row],[PRIOR YEAR]]</f>
        <v>0</v>
      </c>
    </row>
    <row r="42" spans="2:8" ht="24" customHeight="1" x14ac:dyDescent="0.3">
      <c r="B42" s="25" t="s">
        <v>303</v>
      </c>
      <c r="C42" s="6"/>
      <c r="D42" s="6">
        <v>4000</v>
      </c>
      <c r="E42" s="6">
        <v>3474.8</v>
      </c>
      <c r="F42" s="6">
        <f>ExpenseTable578[[#This Row],[ACTUAL]]-ExpenseTable578[[#This Row],[PROPOSED]]</f>
        <v>-525.19999999999982</v>
      </c>
      <c r="G42" s="7">
        <f>ExpenseTable578[[#This Row],[ACTUAL]]-ExpenseTable578[[#This Row],[PRIOR YEAR]]</f>
        <v>3474.8</v>
      </c>
    </row>
    <row r="43" spans="2:8" ht="24" customHeight="1" x14ac:dyDescent="0.3">
      <c r="B43" s="24" t="s">
        <v>251</v>
      </c>
      <c r="C43" s="6">
        <v>40</v>
      </c>
      <c r="D43" s="6">
        <v>50</v>
      </c>
      <c r="E43" s="6"/>
      <c r="F43" s="6">
        <f>ExpenseTable578[[#This Row],[ACTUAL]]-ExpenseTable578[[#This Row],[PROPOSED]]</f>
        <v>-50</v>
      </c>
      <c r="G43" s="7">
        <f>ExpenseTable578[[#This Row],[ACTUAL]]-ExpenseTable578[[#This Row],[PRIOR YEAR]]</f>
        <v>-40</v>
      </c>
    </row>
    <row r="44" spans="2:8" ht="24" customHeight="1" x14ac:dyDescent="0.3">
      <c r="B44" s="24" t="s">
        <v>28</v>
      </c>
      <c r="C44" s="6"/>
      <c r="D44" s="6">
        <v>50</v>
      </c>
      <c r="E44" s="6"/>
      <c r="F44" s="6">
        <f>ExpenseTable578[[#This Row],[ACTUAL]]-ExpenseTable578[[#This Row],[PROPOSED]]</f>
        <v>-50</v>
      </c>
      <c r="G44" s="7">
        <f>ExpenseTable578[[#This Row],[ACTUAL]]-ExpenseTable578[[#This Row],[PRIOR YEAR]]</f>
        <v>0</v>
      </c>
    </row>
    <row r="45" spans="2:8" ht="24" customHeight="1" x14ac:dyDescent="0.3">
      <c r="B45" s="24" t="s">
        <v>312</v>
      </c>
      <c r="C45" s="6"/>
      <c r="D45" s="6">
        <v>50</v>
      </c>
      <c r="E45" s="6">
        <v>68.739999999999995</v>
      </c>
      <c r="F45" s="6">
        <f>ExpenseTable578[[#This Row],[ACTUAL]]-ExpenseTable578[[#This Row],[PROPOSED]]</f>
        <v>18.739999999999995</v>
      </c>
      <c r="G45" s="7">
        <f>ExpenseTable578[[#This Row],[ACTUAL]]-ExpenseTable578[[#This Row],[PRIOR YEAR]]</f>
        <v>68.739999999999995</v>
      </c>
    </row>
    <row r="46" spans="2:8" ht="24" hidden="1" customHeight="1" x14ac:dyDescent="0.3">
      <c r="B46" s="24" t="s">
        <v>26</v>
      </c>
      <c r="C46" s="6"/>
      <c r="D46" s="6">
        <v>50</v>
      </c>
      <c r="E46" s="6"/>
      <c r="F46" s="6">
        <f>ExpenseTable578[[#This Row],[ACTUAL]]-ExpenseTable578[[#This Row],[PROPOSED]]</f>
        <v>-50</v>
      </c>
      <c r="G46" s="7">
        <f>ExpenseTable578[[#This Row],[ACTUAL]]-ExpenseTable578[[#This Row],[PRIOR YEAR]]</f>
        <v>0</v>
      </c>
    </row>
    <row r="47" spans="2:8" ht="24" customHeight="1" x14ac:dyDescent="0.3">
      <c r="B47" s="25" t="s">
        <v>51</v>
      </c>
      <c r="C47" s="6">
        <v>399</v>
      </c>
      <c r="D47" s="6">
        <v>50</v>
      </c>
      <c r="E47" s="6">
        <v>153.46</v>
      </c>
      <c r="F47" s="6">
        <f>ExpenseTable578[[#This Row],[ACTUAL]]-ExpenseTable578[[#This Row],[PROPOSED]]</f>
        <v>103.46000000000001</v>
      </c>
      <c r="G47" s="7">
        <f>ExpenseTable578[[#This Row],[ACTUAL]]-ExpenseTable578[[#This Row],[PRIOR YEAR]]</f>
        <v>-245.54</v>
      </c>
    </row>
    <row r="48" spans="2:8" ht="24" hidden="1" customHeight="1" x14ac:dyDescent="0.3">
      <c r="B48" s="25" t="s">
        <v>291</v>
      </c>
      <c r="C48" s="6"/>
      <c r="D48" s="6">
        <v>50</v>
      </c>
      <c r="E48" s="6"/>
      <c r="F48" s="6">
        <f>ExpenseTable578[[#This Row],[ACTUAL]]-ExpenseTable578[[#This Row],[PROPOSED]]</f>
        <v>-50</v>
      </c>
      <c r="G48" s="7">
        <f>ExpenseTable578[[#This Row],[ACTUAL]]-ExpenseTable578[[#This Row],[PRIOR YEAR]]</f>
        <v>0</v>
      </c>
    </row>
    <row r="49" spans="2:7" ht="24" customHeight="1" x14ac:dyDescent="0.3">
      <c r="B49" s="25" t="s">
        <v>306</v>
      </c>
      <c r="C49" s="6">
        <v>32.99</v>
      </c>
      <c r="D49" s="6">
        <v>50</v>
      </c>
      <c r="E49" s="6"/>
      <c r="F49" s="6">
        <f>ExpenseTable578[[#This Row],[ACTUAL]]-ExpenseTable578[[#This Row],[PROPOSED]]</f>
        <v>-50</v>
      </c>
      <c r="G49" s="7">
        <f>ExpenseTable578[[#This Row],[ACTUAL]]-ExpenseTable578[[#This Row],[PRIOR YEAR]]</f>
        <v>-32.99</v>
      </c>
    </row>
    <row r="50" spans="2:7" ht="24" customHeight="1" x14ac:dyDescent="0.3">
      <c r="B50" s="25" t="s">
        <v>307</v>
      </c>
      <c r="C50" s="6">
        <v>166.89</v>
      </c>
      <c r="D50" s="6">
        <v>50</v>
      </c>
      <c r="E50" s="6"/>
      <c r="F50" s="6">
        <f>ExpenseTable578[[#This Row],[ACTUAL]]-ExpenseTable578[[#This Row],[PROPOSED]]</f>
        <v>-50</v>
      </c>
      <c r="G50" s="7">
        <f>ExpenseTable578[[#This Row],[ACTUAL]]-ExpenseTable578[[#This Row],[PRIOR YEAR]]</f>
        <v>-166.89</v>
      </c>
    </row>
    <row r="51" spans="2:7" ht="24" customHeight="1" x14ac:dyDescent="0.3">
      <c r="B51" s="25" t="s">
        <v>313</v>
      </c>
      <c r="C51" s="6"/>
      <c r="D51" s="6">
        <v>50</v>
      </c>
      <c r="E51" s="6">
        <v>188</v>
      </c>
      <c r="F51" s="6">
        <f>ExpenseTable578[[#This Row],[ACTUAL]]-ExpenseTable578[[#This Row],[PROPOSED]]</f>
        <v>138</v>
      </c>
      <c r="G51" s="7">
        <f>ExpenseTable578[[#This Row],[ACTUAL]]-ExpenseTable578[[#This Row],[PRIOR YEAR]]</f>
        <v>188</v>
      </c>
    </row>
    <row r="52" spans="2:7" ht="24" customHeight="1" x14ac:dyDescent="0.3">
      <c r="B52" s="24" t="s">
        <v>32</v>
      </c>
      <c r="C52" s="6">
        <v>200</v>
      </c>
      <c r="D52" s="6">
        <v>150</v>
      </c>
      <c r="E52" s="6">
        <v>150</v>
      </c>
      <c r="F52" s="6">
        <f>ExpenseTable578[[#This Row],[ACTUAL]]-ExpenseTable578[[#This Row],[PROPOSED]]</f>
        <v>0</v>
      </c>
      <c r="G52" s="7">
        <f>ExpenseTable578[[#This Row],[ACTUAL]]-ExpenseTable578[[#This Row],[PRIOR YEAR]]</f>
        <v>-50</v>
      </c>
    </row>
    <row r="53" spans="2:7" ht="24" customHeight="1" x14ac:dyDescent="0.3">
      <c r="B53" s="4" t="s">
        <v>33</v>
      </c>
      <c r="C53" s="6">
        <v>1830.83</v>
      </c>
      <c r="D53" s="6">
        <v>2000</v>
      </c>
      <c r="E53" s="6">
        <v>1451.97</v>
      </c>
      <c r="F53" s="6">
        <f>ExpenseTable578[[#This Row],[ACTUAL]]-ExpenseTable578[[#This Row],[PROPOSED]]</f>
        <v>-548.03</v>
      </c>
      <c r="G53" s="7">
        <f>ExpenseTable578[[#This Row],[ACTUAL]]-ExpenseTable578[[#This Row],[PRIOR YEAR]]</f>
        <v>-378.8599999999999</v>
      </c>
    </row>
    <row r="54" spans="2:7" ht="24" customHeight="1" x14ac:dyDescent="0.3">
      <c r="B54" s="4" t="s">
        <v>314</v>
      </c>
      <c r="C54" s="6"/>
      <c r="D54" s="6"/>
      <c r="E54" s="6">
        <f>3026.75-E15</f>
        <v>802.19999999999982</v>
      </c>
      <c r="F54" s="6">
        <f>ExpenseTable578[[#This Row],[ACTUAL]]-ExpenseTable578[[#This Row],[PROPOSED]]</f>
        <v>802.19999999999982</v>
      </c>
      <c r="G54" s="7">
        <f>ExpenseTable578[[#This Row],[ACTUAL]]-ExpenseTable578[[#This Row],[PRIOR YEAR]]</f>
        <v>802.19999999999982</v>
      </c>
    </row>
    <row r="55" spans="2:7" ht="24" customHeight="1" x14ac:dyDescent="0.3">
      <c r="B55" s="4" t="s">
        <v>308</v>
      </c>
      <c r="C55" s="6">
        <v>49.56</v>
      </c>
      <c r="D55" s="6"/>
      <c r="E55" s="6">
        <v>944.55</v>
      </c>
      <c r="F55" s="6">
        <f>ExpenseTable578[[#This Row],[ACTUAL]]-ExpenseTable578[[#This Row],[PROPOSED]]</f>
        <v>944.55</v>
      </c>
      <c r="G55" s="7">
        <f>ExpenseTable578[[#This Row],[ACTUAL]]-ExpenseTable578[[#This Row],[PRIOR YEAR]]</f>
        <v>894.99</v>
      </c>
    </row>
    <row r="56" spans="2:7" ht="24" customHeight="1" x14ac:dyDescent="0.3">
      <c r="B56" s="4" t="s">
        <v>38</v>
      </c>
      <c r="C56" s="6"/>
      <c r="D56" s="6">
        <v>200</v>
      </c>
      <c r="E56" s="6"/>
      <c r="F56" s="6">
        <v>200</v>
      </c>
      <c r="G56" s="7">
        <f>ExpenseTable578[[#This Row],[ACTUAL]]-ExpenseTable578[[#This Row],[PRIOR YEAR]]</f>
        <v>0</v>
      </c>
    </row>
    <row r="57" spans="2:7" ht="24" hidden="1" customHeight="1" x14ac:dyDescent="0.3">
      <c r="B57" s="25" t="s">
        <v>40</v>
      </c>
      <c r="C57" s="6"/>
      <c r="D57" s="6"/>
      <c r="E57" s="6"/>
      <c r="F57" s="6">
        <f>ExpenseTable578[[#This Row],[ACTUAL]]-ExpenseTable578[[#This Row],[PROPOSED]]</f>
        <v>0</v>
      </c>
      <c r="G57" s="7">
        <f>ExpenseTable578[[#This Row],[ACTUAL]]-ExpenseTable578[[#This Row],[PRIOR YEAR]]</f>
        <v>0</v>
      </c>
    </row>
    <row r="58" spans="2:7" ht="24" hidden="1" customHeight="1" x14ac:dyDescent="0.3">
      <c r="B58" s="25" t="s">
        <v>31</v>
      </c>
      <c r="C58" s="6"/>
      <c r="D58" s="6"/>
      <c r="E58" s="6"/>
      <c r="F58" s="6">
        <f>ExpenseTable578[[#This Row],[ACTUAL]]-ExpenseTable578[[#This Row],[PROPOSED]]</f>
        <v>0</v>
      </c>
      <c r="G58" s="7">
        <f>ExpenseTable578[[#This Row],[ACTUAL]]-ExpenseTable578[[#This Row],[PRIOR YEAR]]</f>
        <v>0</v>
      </c>
    </row>
    <row r="59" spans="2:7" ht="24" customHeight="1" x14ac:dyDescent="0.3">
      <c r="B59" s="4" t="s">
        <v>35</v>
      </c>
      <c r="C59" s="6">
        <f>SUM(C60:C70)</f>
        <v>3645.9</v>
      </c>
      <c r="D59" s="6">
        <v>1174</v>
      </c>
      <c r="E59" s="6">
        <v>1637.76</v>
      </c>
      <c r="F59" s="6">
        <f>ExpenseTable578[[#This Row],[ACTUAL]]-ExpenseTable578[[#This Row],[PROPOSED]]</f>
        <v>463.76</v>
      </c>
      <c r="G59" s="7">
        <f>SUM(G60:G70)</f>
        <v>-2217.0300000000002</v>
      </c>
    </row>
    <row r="60" spans="2:7" ht="24" customHeight="1" x14ac:dyDescent="0.3">
      <c r="B60" s="25" t="s">
        <v>258</v>
      </c>
      <c r="C60" s="6">
        <v>36</v>
      </c>
      <c r="D60" s="6">
        <v>250</v>
      </c>
      <c r="E60" s="6">
        <v>74</v>
      </c>
      <c r="F60" s="6">
        <f>ExpenseTable578[[#This Row],[ACTUAL]]-ExpenseTable578[[#This Row],[PROPOSED]]</f>
        <v>-176</v>
      </c>
      <c r="G60" s="7">
        <f>ExpenseTable578[[#This Row],[ACTUAL]]-ExpenseTable578[[#This Row],[PRIOR YEAR]]</f>
        <v>38</v>
      </c>
    </row>
    <row r="61" spans="2:7" ht="24" hidden="1" customHeight="1" x14ac:dyDescent="0.3">
      <c r="B61" s="25" t="s">
        <v>304</v>
      </c>
      <c r="C61" s="6"/>
      <c r="D61" s="6"/>
      <c r="E61" s="6"/>
      <c r="F61" s="6">
        <f>ExpenseTable578[[#This Row],[ACTUAL]]-ExpenseTable578[[#This Row],[PROPOSED]]</f>
        <v>0</v>
      </c>
      <c r="G61" s="7">
        <f>ExpenseTable578[[#This Row],[ACTUAL]]-ExpenseTable578[[#This Row],[PRIOR YEAR]]</f>
        <v>0</v>
      </c>
    </row>
    <row r="62" spans="2:7" ht="24" customHeight="1" x14ac:dyDescent="0.3">
      <c r="B62" s="25" t="s">
        <v>240</v>
      </c>
      <c r="C62" s="6">
        <v>520</v>
      </c>
      <c r="D62" s="6">
        <v>220</v>
      </c>
      <c r="E62" s="6">
        <v>615</v>
      </c>
      <c r="F62" s="6">
        <f>ExpenseTable578[[#This Row],[ACTUAL]]-ExpenseTable578[[#This Row],[PROPOSED]]</f>
        <v>395</v>
      </c>
      <c r="G62" s="7">
        <f>ExpenseTable578[[#This Row],[ACTUAL]]-ExpenseTable578[[#This Row],[PRIOR YEAR]]</f>
        <v>95</v>
      </c>
    </row>
    <row r="63" spans="2:7" ht="24" customHeight="1" x14ac:dyDescent="0.3">
      <c r="B63" s="24" t="s">
        <v>241</v>
      </c>
      <c r="C63" s="6">
        <v>136</v>
      </c>
      <c r="D63" s="6">
        <v>400</v>
      </c>
      <c r="E63" s="6">
        <v>160</v>
      </c>
      <c r="F63" s="6">
        <f>ExpenseTable578[[#This Row],[ACTUAL]]-ExpenseTable578[[#This Row],[PROPOSED]]</f>
        <v>-240</v>
      </c>
      <c r="G63" s="7">
        <f>ExpenseTable578[[#This Row],[ACTUAL]]-ExpenseTable578[[#This Row],[PRIOR YEAR]]</f>
        <v>24</v>
      </c>
    </row>
    <row r="64" spans="2:7" ht="24" customHeight="1" x14ac:dyDescent="0.3">
      <c r="B64" s="25" t="s">
        <v>48</v>
      </c>
      <c r="C64" s="6">
        <v>320</v>
      </c>
      <c r="D64" s="6"/>
      <c r="E64" s="6"/>
      <c r="F64" s="6">
        <f>ExpenseTable578[[#This Row],[ACTUAL]]-ExpenseTable578[[#This Row],[PROPOSED]]</f>
        <v>0</v>
      </c>
      <c r="G64" s="7">
        <f>ExpenseTable578[[#This Row],[ACTUAL]]-ExpenseTable578[[#This Row],[PRIOR YEAR]]</f>
        <v>-320</v>
      </c>
    </row>
    <row r="65" spans="2:7" ht="24" customHeight="1" x14ac:dyDescent="0.3">
      <c r="B65" s="25" t="s">
        <v>2</v>
      </c>
      <c r="C65" s="6">
        <v>275</v>
      </c>
      <c r="D65" s="6">
        <v>290</v>
      </c>
      <c r="E65" s="6">
        <v>290</v>
      </c>
      <c r="F65" s="6">
        <f>ExpenseTable578[[#This Row],[ACTUAL]]-ExpenseTable578[[#This Row],[PROPOSED]]</f>
        <v>0</v>
      </c>
      <c r="G65" s="7">
        <f>ExpenseTable578[[#This Row],[ACTUAL]]-ExpenseTable578[[#This Row],[PRIOR YEAR]]</f>
        <v>15</v>
      </c>
    </row>
    <row r="66" spans="2:7" ht="24" hidden="1" customHeight="1" x14ac:dyDescent="0.3">
      <c r="B66" s="25" t="s">
        <v>53</v>
      </c>
      <c r="C66" s="6"/>
      <c r="D66" s="6"/>
      <c r="E66" s="6"/>
      <c r="F66" s="6">
        <f>ExpenseTable578[[#This Row],[ACTUAL]]-ExpenseTable578[[#This Row],[PROPOSED]]</f>
        <v>0</v>
      </c>
      <c r="G66" s="7">
        <f>ExpenseTable578[[#This Row],[ACTUAL]]-ExpenseTable578[[#This Row],[PRIOR YEAR]]</f>
        <v>0</v>
      </c>
    </row>
    <row r="67" spans="2:7" ht="24" hidden="1" customHeight="1" x14ac:dyDescent="0.3">
      <c r="B67" s="25" t="s">
        <v>232</v>
      </c>
      <c r="C67" s="6"/>
      <c r="D67" s="6"/>
      <c r="E67" s="6"/>
      <c r="F67" s="6">
        <f>ExpenseTable578[[#This Row],[ACTUAL]]-ExpenseTable578[[#This Row],[PROPOSED]]</f>
        <v>0</v>
      </c>
      <c r="G67" s="7">
        <f>ExpenseTable578[[#This Row],[ACTUAL]]-ExpenseTable578[[#This Row],[PRIOR YEAR]]</f>
        <v>0</v>
      </c>
    </row>
    <row r="68" spans="2:7" ht="24" customHeight="1" x14ac:dyDescent="0.3">
      <c r="B68" s="25" t="s">
        <v>47</v>
      </c>
      <c r="C68" s="6">
        <v>350</v>
      </c>
      <c r="D68" s="6">
        <v>400</v>
      </c>
      <c r="E68" s="6">
        <v>280</v>
      </c>
      <c r="F68" s="6">
        <f>ExpenseTable578[[#This Row],[ACTUAL]]-ExpenseTable578[[#This Row],[PROPOSED]]</f>
        <v>-120</v>
      </c>
      <c r="G68" s="7">
        <f>ExpenseTable578[[#This Row],[ACTUAL]]-ExpenseTable578[[#This Row],[PRIOR YEAR]]</f>
        <v>-70</v>
      </c>
    </row>
    <row r="69" spans="2:7" ht="24" customHeight="1" x14ac:dyDescent="0.3">
      <c r="B69" s="25" t="s">
        <v>3</v>
      </c>
      <c r="C69" s="6">
        <v>20.7</v>
      </c>
      <c r="D69" s="6">
        <v>25</v>
      </c>
      <c r="E69" s="6">
        <v>9.8699999999999992</v>
      </c>
      <c r="F69" s="6">
        <f>ExpenseTable578[[#This Row],[ACTUAL]]-ExpenseTable578[[#This Row],[PROPOSED]]</f>
        <v>-15.13</v>
      </c>
      <c r="G69" s="7">
        <f>ExpenseTable578[[#This Row],[ACTUAL]]-ExpenseTable578[[#This Row],[PRIOR YEAR]]</f>
        <v>-10.83</v>
      </c>
    </row>
    <row r="70" spans="2:7" ht="24" customHeight="1" x14ac:dyDescent="0.3">
      <c r="B70" s="25" t="s">
        <v>0</v>
      </c>
      <c r="C70" s="6">
        <f>779.95+1208.25</f>
        <v>1988.2</v>
      </c>
      <c r="D70" s="6"/>
      <c r="E70" s="6"/>
      <c r="F70" s="6">
        <f>ExpenseTable578[[#This Row],[ACTUAL]]-ExpenseTable578[[#This Row],[PROPOSED]]</f>
        <v>0</v>
      </c>
      <c r="G70" s="7">
        <f>ExpenseTable578[[#This Row],[ACTUAL]]-ExpenseTable578[[#This Row],[PRIOR YEAR]]</f>
        <v>-1988.2</v>
      </c>
    </row>
    <row r="71" spans="2:7" ht="24" customHeight="1" x14ac:dyDescent="0.3">
      <c r="B71" s="4" t="s">
        <v>10</v>
      </c>
      <c r="C71" s="8">
        <f>C59+C55+C53+C40+C34</f>
        <v>8802.4</v>
      </c>
      <c r="D71" s="8">
        <f>D59+D56+D53+D40+D34</f>
        <v>12764</v>
      </c>
      <c r="E71" s="65">
        <f>SUM(E34,E40,E53,E54,E55,E59)</f>
        <v>14281.749999999998</v>
      </c>
      <c r="F71" s="8">
        <f>ExpenseTable578[[#Totals],[PROPOSED]]-ExpenseTable578[[#Totals],[ACTUAL]]</f>
        <v>-1517.7499999999982</v>
      </c>
      <c r="G71" s="9">
        <f>ExpenseTable578[[#Totals],[ACTUAL]]-ExpenseTable578[[#Totals],[PRIOR YEAR]]</f>
        <v>5479.3499999999985</v>
      </c>
    </row>
    <row r="72" spans="2:7" ht="24" customHeight="1" x14ac:dyDescent="0.3">
      <c r="B72" s="1" t="s">
        <v>250</v>
      </c>
    </row>
  </sheetData>
  <mergeCells count="2">
    <mergeCell ref="B21:G21"/>
    <mergeCell ref="B29:F29"/>
  </mergeCells>
  <conditionalFormatting sqref="D11:G20 C71:G71 D62:G70 C34:G59">
    <cfRule type="expression" dxfId="23" priority="6">
      <formula>C11&lt;0</formula>
    </cfRule>
  </conditionalFormatting>
  <conditionalFormatting sqref="D60:G61">
    <cfRule type="expression" dxfId="22" priority="5">
      <formula>D60&lt;0</formula>
    </cfRule>
  </conditionalFormatting>
  <conditionalFormatting sqref="C20">
    <cfRule type="expression" dxfId="21" priority="4">
      <formula>C20&lt;0</formula>
    </cfRule>
  </conditionalFormatting>
  <conditionalFormatting sqref="C62:C70">
    <cfRule type="expression" dxfId="20" priority="3">
      <formula>C62&lt;0</formula>
    </cfRule>
  </conditionalFormatting>
  <conditionalFormatting sqref="C60:C61">
    <cfRule type="expression" dxfId="19" priority="2">
      <formula>C60&lt;0</formula>
    </cfRule>
  </conditionalFormatting>
  <conditionalFormatting sqref="C11:C19">
    <cfRule type="expression" dxfId="18" priority="1">
      <formula>C11&lt;0</formula>
    </cfRule>
  </conditionalFormatting>
  <printOptions horizontalCentered="1"/>
  <pageMargins left="0.25" right="0.25" top="0.75" bottom="0.75" header="0.3" footer="0.3"/>
  <pageSetup scale="73" fitToHeight="0" orientation="portrait" r:id="rId1"/>
  <headerFooter differentFirst="1">
    <oddFooter>Page &amp;P of &amp;N</oddFooter>
  </headerFooter>
  <rowBreaks count="2" manualBreakCount="2">
    <brk id="24" max="16383" man="1"/>
    <brk id="25" max="16383" man="1"/>
  </rowBreaks>
  <drawing r:id="rId2"/>
  <picture r:id="rId3"/>
  <tableParts count="2"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L73"/>
  <sheetViews>
    <sheetView showGridLines="0" tabSelected="1" topLeftCell="A39" zoomScale="80" zoomScaleNormal="80" workbookViewId="0">
      <selection activeCell="D41" sqref="D41"/>
    </sheetView>
  </sheetViews>
  <sheetFormatPr defaultColWidth="8.6640625" defaultRowHeight="24" customHeight="1" x14ac:dyDescent="0.3"/>
  <cols>
    <col min="1" max="1" width="2.6640625" style="1" customWidth="1"/>
    <col min="2" max="2" width="39.88671875" style="1" customWidth="1"/>
    <col min="3" max="7" width="18.6640625" style="1" customWidth="1"/>
    <col min="8" max="8" width="2.6640625" style="1" customWidth="1"/>
    <col min="9" max="16384" width="8.6640625" style="1"/>
  </cols>
  <sheetData>
    <row r="1" spans="2:7" ht="58.5" customHeight="1" x14ac:dyDescent="0.85">
      <c r="B1" s="3" t="s">
        <v>12</v>
      </c>
      <c r="F1" s="10" t="s">
        <v>13</v>
      </c>
      <c r="G1" s="2" t="s">
        <v>309</v>
      </c>
    </row>
    <row r="2" spans="2:7" ht="24" customHeight="1" x14ac:dyDescent="0.85">
      <c r="B2" s="3"/>
      <c r="F2" s="10"/>
      <c r="G2" s="2"/>
    </row>
    <row r="9" spans="2:7" ht="24" customHeight="1" x14ac:dyDescent="0.35">
      <c r="B9" s="66"/>
      <c r="C9" s="18" t="s">
        <v>310</v>
      </c>
      <c r="D9" s="18" t="s">
        <v>315</v>
      </c>
      <c r="E9" s="18" t="s">
        <v>315</v>
      </c>
      <c r="F9" s="18" t="s">
        <v>315</v>
      </c>
      <c r="G9" s="18" t="s">
        <v>310</v>
      </c>
    </row>
    <row r="10" spans="2:7" ht="24" customHeight="1" x14ac:dyDescent="0.3">
      <c r="B10" s="21" t="s">
        <v>8</v>
      </c>
      <c r="C10" s="19" t="s">
        <v>4</v>
      </c>
      <c r="D10" s="19" t="s">
        <v>5</v>
      </c>
      <c r="E10" s="19" t="s">
        <v>6</v>
      </c>
      <c r="F10" s="19" t="s">
        <v>11</v>
      </c>
      <c r="G10" s="20" t="s">
        <v>7</v>
      </c>
    </row>
    <row r="11" spans="2:7" ht="24" customHeight="1" x14ac:dyDescent="0.3">
      <c r="B11" s="11" t="s">
        <v>17</v>
      </c>
      <c r="C11" s="12">
        <v>220</v>
      </c>
      <c r="D11" s="12">
        <v>450</v>
      </c>
      <c r="E11" s="12"/>
      <c r="F11" s="12">
        <f>RevenueTable4639[[#This Row],[ACTUAL]]-RevenueTable4639[[#This Row],[PROPOSED]]</f>
        <v>-450</v>
      </c>
      <c r="G11" s="13">
        <f>RevenueTable4639[[#This Row],[ACTUAL]]-RevenueTable4639[[#This Row],[PRIOR YEAR]]</f>
        <v>-220</v>
      </c>
    </row>
    <row r="12" spans="2:7" ht="24" customHeight="1" x14ac:dyDescent="0.3">
      <c r="B12" s="11" t="s">
        <v>18</v>
      </c>
      <c r="C12" s="12">
        <f>3861.54+1936.5+89.5+391+120+55+195</f>
        <v>6648.54</v>
      </c>
      <c r="D12" s="12">
        <f>2500+1000+500+1000+500+300</f>
        <v>5800</v>
      </c>
      <c r="E12" s="12"/>
      <c r="F12" s="12">
        <f>RevenueTable4639[[#This Row],[ACTUAL]]-RevenueTable4639[[#This Row],[PROPOSED]]</f>
        <v>-5800</v>
      </c>
      <c r="G12" s="13">
        <f>RevenueTable4639[[#This Row],[ACTUAL]]-RevenueTable4639[[#This Row],[PRIOR YEAR]]</f>
        <v>-6648.54</v>
      </c>
    </row>
    <row r="13" spans="2:7" ht="24" customHeight="1" x14ac:dyDescent="0.3">
      <c r="B13" s="11" t="s">
        <v>1</v>
      </c>
      <c r="C13" s="12">
        <v>45</v>
      </c>
      <c r="D13" s="12">
        <v>300</v>
      </c>
      <c r="E13" s="12"/>
      <c r="F13" s="12">
        <f>RevenueTable4639[[#This Row],[ACTUAL]]-RevenueTable4639[[#This Row],[PROPOSED]]</f>
        <v>-300</v>
      </c>
      <c r="G13" s="13">
        <f>RevenueTable4639[[#This Row],[ACTUAL]]-RevenueTable4639[[#This Row],[PRIOR YEAR]]</f>
        <v>-45</v>
      </c>
    </row>
    <row r="14" spans="2:7" ht="24" customHeight="1" x14ac:dyDescent="0.3">
      <c r="B14" s="23" t="s">
        <v>75</v>
      </c>
      <c r="C14" s="12"/>
      <c r="D14" s="12"/>
      <c r="E14" s="12"/>
      <c r="F14" s="12">
        <f>RevenueTable4639[[#This Row],[ACTUAL]]-RevenueTable4639[[#This Row],[PROPOSED]]</f>
        <v>0</v>
      </c>
      <c r="G14" s="13">
        <f>RevenueTable4639[[#This Row],[ACTUAL]]-RevenueTable4639[[#This Row],[PRIOR YEAR]]</f>
        <v>0</v>
      </c>
    </row>
    <row r="15" spans="2:7" ht="24" customHeight="1" x14ac:dyDescent="0.3">
      <c r="B15" s="23" t="s">
        <v>311</v>
      </c>
      <c r="C15" s="12">
        <v>2224.5500000000002</v>
      </c>
      <c r="D15" s="12"/>
      <c r="E15" s="12"/>
      <c r="F15" s="12">
        <f>RevenueTable4639[[#This Row],[ACTUAL]]-RevenueTable4639[[#This Row],[PROPOSED]]</f>
        <v>0</v>
      </c>
      <c r="G15" s="13">
        <f>RevenueTable4639[[#This Row],[ACTUAL]]-RevenueTable4639[[#This Row],[PRIOR YEAR]]</f>
        <v>-2224.5500000000002</v>
      </c>
    </row>
    <row r="16" spans="2:7" ht="24" hidden="1" customHeight="1" x14ac:dyDescent="0.3">
      <c r="B16" s="23" t="s">
        <v>24</v>
      </c>
      <c r="C16" s="12"/>
      <c r="D16" s="12"/>
      <c r="E16" s="12"/>
      <c r="F16" s="12">
        <f>RevenueTable4639[[#This Row],[ACTUAL]]-RevenueTable4639[[#This Row],[PROPOSED]]</f>
        <v>0</v>
      </c>
      <c r="G16" s="13">
        <f>RevenueTable4639[[#This Row],[ACTUAL]]-RevenueTable4639[[#This Row],[PRIOR YEAR]]</f>
        <v>0</v>
      </c>
    </row>
    <row r="17" spans="2:12" ht="24" customHeight="1" x14ac:dyDescent="0.3">
      <c r="B17" s="23" t="s">
        <v>245</v>
      </c>
      <c r="C17" s="12">
        <v>1500</v>
      </c>
      <c r="D17" s="12">
        <v>1500</v>
      </c>
      <c r="E17" s="12"/>
      <c r="F17" s="12">
        <f>RevenueTable4639[[#This Row],[ACTUAL]]-RevenueTable4639[[#This Row],[PROPOSED]]</f>
        <v>-1500</v>
      </c>
      <c r="G17" s="13">
        <f>RevenueTable4639[[#This Row],[ACTUAL]]-RevenueTable4639[[#This Row],[PRIOR YEAR]]</f>
        <v>-1500</v>
      </c>
    </row>
    <row r="18" spans="2:12" ht="24" customHeight="1" x14ac:dyDescent="0.3">
      <c r="B18" s="11" t="s">
        <v>244</v>
      </c>
      <c r="C18" s="12">
        <f>2000.26+1362.4</f>
        <v>3362.66</v>
      </c>
      <c r="D18" s="12"/>
      <c r="E18" s="12"/>
      <c r="F18" s="12">
        <f>RevenueTable4639[[#This Row],[ACTUAL]]-RevenueTable4639[[#This Row],[PROPOSED]]</f>
        <v>0</v>
      </c>
      <c r="G18" s="13">
        <f>RevenueTable4639[[#This Row],[ACTUAL]]-RevenueTable4639[[#This Row],[PRIOR YEAR]]</f>
        <v>-3362.66</v>
      </c>
    </row>
    <row r="19" spans="2:12" ht="24" customHeight="1" x14ac:dyDescent="0.3">
      <c r="B19" s="11" t="s">
        <v>0</v>
      </c>
      <c r="C19" s="12">
        <f>(919-638)</f>
        <v>281</v>
      </c>
      <c r="D19" s="12"/>
      <c r="E19" s="12"/>
      <c r="F19" s="12">
        <f>RevenueTable4639[[#This Row],[ACTUAL]]-RevenueTable4639[[#This Row],[PROPOSED]]</f>
        <v>0</v>
      </c>
      <c r="G19" s="13">
        <f>RevenueTable4639[[#This Row],[ACTUAL]]-RevenueTable4639[[#This Row],[PRIOR YEAR]]</f>
        <v>-281</v>
      </c>
    </row>
    <row r="20" spans="2:12" ht="24" customHeight="1" x14ac:dyDescent="0.3">
      <c r="B20" s="68" t="s">
        <v>10</v>
      </c>
      <c r="C20" s="69">
        <f>SUBTOTAL(109,RevenueTable4639[PRIOR YEAR])</f>
        <v>14281.75</v>
      </c>
      <c r="D20" s="69">
        <f>SUBTOTAL(109,RevenueTable4639[PROPOSED])</f>
        <v>8050</v>
      </c>
      <c r="E20" s="69">
        <f>SUBTOTAL(109,RevenueTable4639[ACTUAL])</f>
        <v>0</v>
      </c>
      <c r="F20" s="69">
        <f>SUBTOTAL(109,RevenueTable4639[VARIANCE])</f>
        <v>-8050</v>
      </c>
      <c r="G20" s="70">
        <f>SUBTOTAL(109,RevenueTable4639[+/- PRIOR YEAR])</f>
        <v>-14281.75</v>
      </c>
      <c r="L20" s="1">
        <f>RevenueTable4639[[#Totals],[PROPOSED]]-ExpenseTable57810[[#Totals],[PROPOSED]]</f>
        <v>0</v>
      </c>
    </row>
    <row r="21" spans="2:12" s="66" customFormat="1" ht="24" customHeight="1" x14ac:dyDescent="0.3">
      <c r="B21" s="74" t="s">
        <v>243</v>
      </c>
      <c r="C21" s="74"/>
      <c r="D21" s="74"/>
      <c r="E21" s="74"/>
      <c r="F21" s="74"/>
      <c r="G21" s="74"/>
    </row>
    <row r="22" spans="2:12" s="66" customFormat="1" ht="24" customHeight="1" x14ac:dyDescent="0.3">
      <c r="B22" s="54"/>
      <c r="C22" s="53"/>
      <c r="D22" s="67"/>
      <c r="E22" s="67"/>
      <c r="F22" s="67"/>
      <c r="G22" s="67"/>
    </row>
    <row r="23" spans="2:12" s="66" customFormat="1" ht="24" customHeight="1" x14ac:dyDescent="0.3">
      <c r="B23" s="54" t="s">
        <v>24</v>
      </c>
      <c r="C23" s="53">
        <v>8027.5</v>
      </c>
      <c r="D23" s="67"/>
      <c r="E23" s="67"/>
      <c r="F23" s="67"/>
      <c r="G23" s="67"/>
      <c r="L23" s="66">
        <f>5750-940</f>
        <v>4810</v>
      </c>
    </row>
    <row r="24" spans="2:12" s="66" customFormat="1" ht="24" customHeight="1" x14ac:dyDescent="0.3">
      <c r="B24" s="54"/>
      <c r="C24" s="53"/>
      <c r="D24" s="55"/>
      <c r="E24" s="67"/>
      <c r="F24" s="67"/>
      <c r="G24" s="67"/>
    </row>
    <row r="25" spans="2:12" s="66" customFormat="1" ht="24" customHeight="1" x14ac:dyDescent="0.3">
      <c r="B25" s="15"/>
      <c r="C25" s="16"/>
      <c r="D25" s="16"/>
      <c r="E25" s="16"/>
      <c r="F25" s="16"/>
      <c r="G25" s="17"/>
    </row>
    <row r="26" spans="2:12" s="66" customFormat="1" ht="24" customHeight="1" x14ac:dyDescent="0.3">
      <c r="B26" s="15"/>
      <c r="C26" s="16"/>
      <c r="D26" s="16"/>
      <c r="E26" s="16"/>
      <c r="F26" s="16"/>
      <c r="G26" s="17"/>
    </row>
    <row r="27" spans="2:12" s="66" customFormat="1" ht="24" customHeight="1" x14ac:dyDescent="0.3">
      <c r="B27" s="15"/>
      <c r="C27" s="16"/>
      <c r="D27" s="16"/>
      <c r="E27" s="16"/>
      <c r="F27" s="16"/>
      <c r="G27" s="17"/>
    </row>
    <row r="28" spans="2:12" s="66" customFormat="1" ht="24" customHeight="1" x14ac:dyDescent="0.3">
      <c r="B28" s="15"/>
      <c r="C28" s="16"/>
      <c r="D28" s="16"/>
      <c r="E28" s="16"/>
      <c r="F28" s="16"/>
      <c r="G28" s="17"/>
    </row>
    <row r="29" spans="2:12" s="66" customFormat="1" ht="24" customHeight="1" x14ac:dyDescent="0.3">
      <c r="B29" s="73"/>
      <c r="C29" s="73"/>
      <c r="D29" s="73"/>
      <c r="E29" s="73"/>
      <c r="F29" s="73"/>
    </row>
    <row r="32" spans="2:12" ht="24" customHeight="1" x14ac:dyDescent="0.35">
      <c r="C32" s="18" t="str">
        <f>C9</f>
        <v>SY 2016-2017</v>
      </c>
      <c r="D32" s="18" t="str">
        <f>D9</f>
        <v>SY 2017-2018</v>
      </c>
      <c r="E32" s="18" t="str">
        <f>E9</f>
        <v>SY 2017-2018</v>
      </c>
      <c r="F32" s="18" t="str">
        <f>F9</f>
        <v>SY 2017-2018</v>
      </c>
      <c r="G32" s="18" t="str">
        <f>G9</f>
        <v>SY 2016-2017</v>
      </c>
    </row>
    <row r="33" spans="2:8" ht="24" customHeight="1" x14ac:dyDescent="0.3">
      <c r="B33" s="5" t="s">
        <v>9</v>
      </c>
      <c r="C33" s="19" t="s">
        <v>4</v>
      </c>
      <c r="D33" s="19" t="s">
        <v>5</v>
      </c>
      <c r="E33" s="19" t="s">
        <v>6</v>
      </c>
      <c r="F33" s="19" t="s">
        <v>11</v>
      </c>
      <c r="G33" s="20" t="s">
        <v>7</v>
      </c>
    </row>
    <row r="34" spans="2:8" ht="24" customHeight="1" x14ac:dyDescent="0.3">
      <c r="B34" s="26" t="s">
        <v>41</v>
      </c>
      <c r="C34" s="28">
        <v>5410.27</v>
      </c>
      <c r="D34" s="28">
        <v>350</v>
      </c>
      <c r="E34" s="28"/>
      <c r="F34" s="28">
        <f>ExpenseTable57810[[#This Row],[ACTUAL]]-ExpenseTable57810[[#This Row],[PROPOSED]]</f>
        <v>-350</v>
      </c>
      <c r="G34" s="29">
        <f>ExpenseTable57810[[#This Row],[ACTUAL]]-ExpenseTable57810[[#This Row],[PRIOR YEAR]]</f>
        <v>-5410.27</v>
      </c>
      <c r="H34" s="57"/>
    </row>
    <row r="35" spans="2:8" ht="24" customHeight="1" x14ac:dyDescent="0.3">
      <c r="B35" s="27" t="s">
        <v>317</v>
      </c>
      <c r="C35" s="28">
        <v>4440</v>
      </c>
      <c r="D35" s="28"/>
      <c r="E35" s="28"/>
      <c r="F35" s="28">
        <f>ExpenseTable57810[[#This Row],[ACTUAL]]-ExpenseTable57810[[#This Row],[PROPOSED]]</f>
        <v>0</v>
      </c>
      <c r="G35" s="29">
        <f>ExpenseTable57810[[#This Row],[ACTUAL]]-ExpenseTable57810[[#This Row],[PRIOR YEAR]]</f>
        <v>-4440</v>
      </c>
    </row>
    <row r="36" spans="2:8" ht="24" hidden="1" customHeight="1" x14ac:dyDescent="0.3">
      <c r="B36" s="27" t="s">
        <v>43</v>
      </c>
      <c r="C36" s="28"/>
      <c r="D36" s="28"/>
      <c r="E36" s="28"/>
      <c r="F36" s="28">
        <f>ExpenseTable57810[[#This Row],[ACTUAL]]-ExpenseTable57810[[#This Row],[PROPOSED]]</f>
        <v>0</v>
      </c>
      <c r="G36" s="29">
        <f>ExpenseTable57810[[#This Row],[ACTUAL]]-ExpenseTable57810[[#This Row],[PRIOR YEAR]]</f>
        <v>0</v>
      </c>
    </row>
    <row r="37" spans="2:8" ht="24" hidden="1" customHeight="1" x14ac:dyDescent="0.3">
      <c r="B37" s="27" t="s">
        <v>229</v>
      </c>
      <c r="C37" s="28"/>
      <c r="D37" s="28"/>
      <c r="E37" s="28"/>
      <c r="F37" s="28">
        <f>ExpenseTable57810[[#This Row],[ACTUAL]]-ExpenseTable57810[[#This Row],[PROPOSED]]</f>
        <v>0</v>
      </c>
      <c r="G37" s="29">
        <f>ExpenseTable57810[[#This Row],[ACTUAL]]-ExpenseTable57810[[#This Row],[PRIOR YEAR]]</f>
        <v>0</v>
      </c>
    </row>
    <row r="38" spans="2:8" ht="24" hidden="1" customHeight="1" x14ac:dyDescent="0.3">
      <c r="B38" s="27" t="s">
        <v>45</v>
      </c>
      <c r="C38" s="30"/>
      <c r="D38" s="30"/>
      <c r="E38" s="30"/>
      <c r="F38" s="30">
        <f>ExpenseTable57810[[#This Row],[ACTUAL]]-ExpenseTable57810[[#This Row],[PROPOSED]]</f>
        <v>0</v>
      </c>
      <c r="G38" s="31">
        <f>ExpenseTable57810[[#This Row],[ACTUAL]]-ExpenseTable57810[[#This Row],[PRIOR YEAR]]</f>
        <v>0</v>
      </c>
    </row>
    <row r="39" spans="2:8" ht="24" customHeight="1" x14ac:dyDescent="0.3">
      <c r="B39" s="27" t="s">
        <v>231</v>
      </c>
      <c r="C39" s="28">
        <v>350</v>
      </c>
      <c r="D39" s="28">
        <v>350</v>
      </c>
      <c r="E39" s="28"/>
      <c r="F39" s="28">
        <f>ExpenseTable57810[[#This Row],[ACTUAL]]-ExpenseTable57810[[#This Row],[PROPOSED]]</f>
        <v>-350</v>
      </c>
      <c r="G39" s="29">
        <f>ExpenseTable57810[[#This Row],[ACTUAL]]-ExpenseTable57810[[#This Row],[PRIOR YEAR]]</f>
        <v>-350</v>
      </c>
    </row>
    <row r="40" spans="2:8" ht="24" customHeight="1" x14ac:dyDescent="0.3">
      <c r="B40" s="26" t="s">
        <v>316</v>
      </c>
      <c r="C40" s="41"/>
      <c r="D40" s="41">
        <v>4650</v>
      </c>
      <c r="E40" s="41"/>
      <c r="F40" s="41">
        <f>ExpenseTable57810[[#This Row],[ACTUAL]]-ExpenseTable57810[[#This Row],[PROPOSED]]</f>
        <v>-4650</v>
      </c>
      <c r="G40" s="71">
        <f>ExpenseTable57810[[#This Row],[ACTUAL]]-ExpenseTable57810[[#This Row],[PRIOR YEAR]]</f>
        <v>0</v>
      </c>
    </row>
    <row r="41" spans="2:8" ht="24" customHeight="1" x14ac:dyDescent="0.3">
      <c r="B41" s="4" t="s">
        <v>37</v>
      </c>
      <c r="C41" s="6">
        <f>SUM(C42:C53)</f>
        <v>4035</v>
      </c>
      <c r="D41" s="6">
        <v>460</v>
      </c>
      <c r="E41" s="6"/>
      <c r="F41" s="28">
        <f>ExpenseTable57810[[#This Row],[ACTUAL]]-ExpenseTable57810[[#This Row],[PROPOSED]]</f>
        <v>-460</v>
      </c>
      <c r="G41" s="29">
        <f>ExpenseTable57810[[#This Row],[ACTUAL]]-ExpenseTable57810[[#This Row],[PRIOR YEAR]]</f>
        <v>-4035</v>
      </c>
    </row>
    <row r="42" spans="2:8" ht="24" customHeight="1" x14ac:dyDescent="0.3">
      <c r="B42" s="25" t="s">
        <v>303</v>
      </c>
      <c r="C42" s="6">
        <v>3474.8</v>
      </c>
      <c r="D42" s="6"/>
      <c r="E42" s="6"/>
      <c r="F42" s="6">
        <f>ExpenseTable57810[[#This Row],[ACTUAL]]-ExpenseTable57810[[#This Row],[PROPOSED]]</f>
        <v>0</v>
      </c>
      <c r="G42" s="7">
        <f>ExpenseTable57810[[#This Row],[ACTUAL]]-ExpenseTable57810[[#This Row],[PRIOR YEAR]]</f>
        <v>-3474.8</v>
      </c>
    </row>
    <row r="43" spans="2:8" ht="24" hidden="1" customHeight="1" x14ac:dyDescent="0.3">
      <c r="B43" s="24" t="s">
        <v>251</v>
      </c>
      <c r="C43" s="6"/>
      <c r="D43" s="6"/>
      <c r="E43" s="6"/>
      <c r="F43" s="6">
        <f>ExpenseTable57810[[#This Row],[ACTUAL]]-ExpenseTable57810[[#This Row],[PROPOSED]]</f>
        <v>0</v>
      </c>
      <c r="G43" s="7">
        <f>ExpenseTable57810[[#This Row],[ACTUAL]]-ExpenseTable57810[[#This Row],[PRIOR YEAR]]</f>
        <v>0</v>
      </c>
    </row>
    <row r="44" spans="2:8" ht="24" hidden="1" customHeight="1" x14ac:dyDescent="0.3">
      <c r="B44" s="24" t="s">
        <v>28</v>
      </c>
      <c r="C44" s="6"/>
      <c r="D44" s="6"/>
      <c r="E44" s="6"/>
      <c r="F44" s="6">
        <f>ExpenseTable57810[[#This Row],[ACTUAL]]-ExpenseTable57810[[#This Row],[PROPOSED]]</f>
        <v>0</v>
      </c>
      <c r="G44" s="7">
        <f>ExpenseTable57810[[#This Row],[ACTUAL]]-ExpenseTable57810[[#This Row],[PRIOR YEAR]]</f>
        <v>0</v>
      </c>
    </row>
    <row r="45" spans="2:8" ht="24" customHeight="1" x14ac:dyDescent="0.3">
      <c r="B45" s="24" t="s">
        <v>312</v>
      </c>
      <c r="C45" s="6">
        <v>68.739999999999995</v>
      </c>
      <c r="D45" s="6"/>
      <c r="E45" s="6"/>
      <c r="F45" s="6">
        <f>ExpenseTable57810[[#This Row],[ACTUAL]]-ExpenseTable57810[[#This Row],[PROPOSED]]</f>
        <v>0</v>
      </c>
      <c r="G45" s="7">
        <f>ExpenseTable57810[[#This Row],[ACTUAL]]-ExpenseTable57810[[#This Row],[PRIOR YEAR]]</f>
        <v>-68.739999999999995</v>
      </c>
    </row>
    <row r="46" spans="2:8" ht="24" customHeight="1" x14ac:dyDescent="0.3">
      <c r="B46" s="24" t="s">
        <v>318</v>
      </c>
      <c r="C46" s="6"/>
      <c r="D46" s="6">
        <v>100</v>
      </c>
      <c r="E46" s="6"/>
      <c r="F46" s="6">
        <f>ExpenseTable57810[[#This Row],[ACTUAL]]-ExpenseTable57810[[#This Row],[PROPOSED]]</f>
        <v>-100</v>
      </c>
      <c r="G46" s="7">
        <f>ExpenseTable57810[[#This Row],[ACTUAL]]-ExpenseTable57810[[#This Row],[PRIOR YEAR]]</f>
        <v>0</v>
      </c>
    </row>
    <row r="47" spans="2:8" ht="24" customHeight="1" x14ac:dyDescent="0.3">
      <c r="B47" s="4" t="s">
        <v>306</v>
      </c>
      <c r="C47" s="6"/>
      <c r="D47" s="6">
        <v>100</v>
      </c>
      <c r="E47" s="6"/>
      <c r="F47" s="6">
        <f>ExpenseTable57810[[#This Row],[ACTUAL]]-ExpenseTable57810[[#This Row],[PROPOSED]]</f>
        <v>-100</v>
      </c>
      <c r="G47" s="7">
        <f>ExpenseTable57810[[#This Row],[ACTUAL]]-ExpenseTable57810[[#This Row],[PRIOR YEAR]]</f>
        <v>0</v>
      </c>
    </row>
    <row r="48" spans="2:8" ht="24" customHeight="1" x14ac:dyDescent="0.3">
      <c r="B48" s="25" t="s">
        <v>51</v>
      </c>
      <c r="C48" s="6">
        <v>153.46</v>
      </c>
      <c r="D48" s="6"/>
      <c r="E48" s="6"/>
      <c r="F48" s="6">
        <f>ExpenseTable57810[[#This Row],[ACTUAL]]-ExpenseTable57810[[#This Row],[PROPOSED]]</f>
        <v>0</v>
      </c>
      <c r="G48" s="7">
        <f>ExpenseTable57810[[#This Row],[ACTUAL]]-ExpenseTable57810[[#This Row],[PRIOR YEAR]]</f>
        <v>-153.46</v>
      </c>
    </row>
    <row r="49" spans="2:7" ht="32.4" hidden="1" customHeight="1" x14ac:dyDescent="0.3">
      <c r="B49" s="25" t="s">
        <v>291</v>
      </c>
      <c r="C49" s="6"/>
      <c r="D49" s="6"/>
      <c r="E49" s="6"/>
      <c r="F49" s="6">
        <f>ExpenseTable57810[[#This Row],[ACTUAL]]-ExpenseTable57810[[#This Row],[PROPOSED]]</f>
        <v>0</v>
      </c>
      <c r="G49" s="7">
        <f>ExpenseTable57810[[#This Row],[ACTUAL]]-ExpenseTable57810[[#This Row],[PRIOR YEAR]]</f>
        <v>0</v>
      </c>
    </row>
    <row r="50" spans="2:7" ht="24" hidden="1" customHeight="1" x14ac:dyDescent="0.3">
      <c r="B50" s="25" t="s">
        <v>306</v>
      </c>
      <c r="C50" s="6"/>
      <c r="D50" s="6"/>
      <c r="E50" s="6"/>
      <c r="F50" s="6">
        <f>ExpenseTable57810[[#This Row],[ACTUAL]]-ExpenseTable57810[[#This Row],[PROPOSED]]</f>
        <v>0</v>
      </c>
      <c r="G50" s="7">
        <f>ExpenseTable57810[[#This Row],[ACTUAL]]-ExpenseTable57810[[#This Row],[PRIOR YEAR]]</f>
        <v>0</v>
      </c>
    </row>
    <row r="51" spans="2:7" ht="24" hidden="1" customHeight="1" x14ac:dyDescent="0.3">
      <c r="B51" s="25" t="s">
        <v>307</v>
      </c>
      <c r="C51" s="6"/>
      <c r="D51" s="6"/>
      <c r="E51" s="6"/>
      <c r="F51" s="6">
        <f>ExpenseTable57810[[#This Row],[ACTUAL]]-ExpenseTable57810[[#This Row],[PROPOSED]]</f>
        <v>0</v>
      </c>
      <c r="G51" s="7">
        <f>ExpenseTable57810[[#This Row],[ACTUAL]]-ExpenseTable57810[[#This Row],[PRIOR YEAR]]</f>
        <v>0</v>
      </c>
    </row>
    <row r="52" spans="2:7" ht="24" customHeight="1" x14ac:dyDescent="0.3">
      <c r="B52" s="25" t="s">
        <v>313</v>
      </c>
      <c r="C52" s="6">
        <v>188</v>
      </c>
      <c r="D52" s="6">
        <v>100</v>
      </c>
      <c r="E52" s="6"/>
      <c r="F52" s="6">
        <f>ExpenseTable57810[[#This Row],[ACTUAL]]-ExpenseTable57810[[#This Row],[PROPOSED]]</f>
        <v>-100</v>
      </c>
      <c r="G52" s="7">
        <f>ExpenseTable57810[[#This Row],[ACTUAL]]-ExpenseTable57810[[#This Row],[PRIOR YEAR]]</f>
        <v>-188</v>
      </c>
    </row>
    <row r="53" spans="2:7" ht="24" customHeight="1" x14ac:dyDescent="0.3">
      <c r="B53" s="24" t="s">
        <v>32</v>
      </c>
      <c r="C53" s="6">
        <v>150</v>
      </c>
      <c r="D53" s="6">
        <v>160</v>
      </c>
      <c r="E53" s="6"/>
      <c r="F53" s="6">
        <f>ExpenseTable57810[[#This Row],[ACTUAL]]-ExpenseTable57810[[#This Row],[PROPOSED]]</f>
        <v>-160</v>
      </c>
      <c r="G53" s="7">
        <f>ExpenseTable57810[[#This Row],[ACTUAL]]-ExpenseTable57810[[#This Row],[PRIOR YEAR]]</f>
        <v>-150</v>
      </c>
    </row>
    <row r="54" spans="2:7" ht="24" customHeight="1" x14ac:dyDescent="0.3">
      <c r="B54" s="4" t="s">
        <v>319</v>
      </c>
      <c r="C54" s="6">
        <v>1451.97</v>
      </c>
      <c r="D54" s="6">
        <v>1500</v>
      </c>
      <c r="E54" s="6"/>
      <c r="F54" s="6">
        <f>ExpenseTable57810[[#This Row],[ACTUAL]]-ExpenseTable57810[[#This Row],[PROPOSED]]</f>
        <v>-1500</v>
      </c>
      <c r="G54" s="7">
        <f>ExpenseTable57810[[#This Row],[ACTUAL]]-ExpenseTable57810[[#This Row],[PRIOR YEAR]]</f>
        <v>-1451.97</v>
      </c>
    </row>
    <row r="55" spans="2:7" ht="24" customHeight="1" x14ac:dyDescent="0.3">
      <c r="B55" s="4" t="s">
        <v>314</v>
      </c>
      <c r="C55" s="6">
        <f>3026.75-C15</f>
        <v>802.19999999999982</v>
      </c>
      <c r="D55" s="6"/>
      <c r="E55" s="6"/>
      <c r="F55" s="6">
        <f>ExpenseTable57810[[#This Row],[ACTUAL]]-ExpenseTable57810[[#This Row],[PROPOSED]]</f>
        <v>0</v>
      </c>
      <c r="G55" s="7">
        <f>ExpenseTable57810[[#This Row],[ACTUAL]]-ExpenseTable57810[[#This Row],[PRIOR YEAR]]</f>
        <v>-802.19999999999982</v>
      </c>
    </row>
    <row r="56" spans="2:7" ht="24" customHeight="1" x14ac:dyDescent="0.3">
      <c r="B56" s="4" t="s">
        <v>308</v>
      </c>
      <c r="C56" s="6">
        <v>944.55</v>
      </c>
      <c r="D56" s="6">
        <v>150</v>
      </c>
      <c r="E56" s="6"/>
      <c r="F56" s="6">
        <f>ExpenseTable57810[[#This Row],[ACTUAL]]-ExpenseTable57810[[#This Row],[PROPOSED]]</f>
        <v>-150</v>
      </c>
      <c r="G56" s="7">
        <f>ExpenseTable57810[[#This Row],[ACTUAL]]-ExpenseTable57810[[#This Row],[PRIOR YEAR]]</f>
        <v>-944.55</v>
      </c>
    </row>
    <row r="57" spans="2:7" ht="24" customHeight="1" x14ac:dyDescent="0.3">
      <c r="B57" s="4" t="s">
        <v>38</v>
      </c>
      <c r="C57" s="6"/>
      <c r="D57" s="6">
        <v>150</v>
      </c>
      <c r="E57" s="6"/>
      <c r="F57" s="6">
        <f>ExpenseTable57810[[#This Row],[ACTUAL]]-ExpenseTable57810[[#This Row],[PROPOSED]]</f>
        <v>-150</v>
      </c>
      <c r="G57" s="7">
        <f>ExpenseTable57810[[#This Row],[ACTUAL]]-ExpenseTable57810[[#This Row],[PRIOR YEAR]]</f>
        <v>0</v>
      </c>
    </row>
    <row r="58" spans="2:7" ht="24" hidden="1" customHeight="1" x14ac:dyDescent="0.3">
      <c r="B58" s="25" t="s">
        <v>40</v>
      </c>
      <c r="C58" s="6"/>
      <c r="D58" s="6"/>
      <c r="E58" s="6"/>
      <c r="F58" s="6">
        <f>ExpenseTable57810[[#This Row],[ACTUAL]]-ExpenseTable57810[[#This Row],[PROPOSED]]</f>
        <v>0</v>
      </c>
      <c r="G58" s="7">
        <f>ExpenseTable57810[[#This Row],[ACTUAL]]-ExpenseTable57810[[#This Row],[PRIOR YEAR]]</f>
        <v>0</v>
      </c>
    </row>
    <row r="59" spans="2:7" ht="24" hidden="1" customHeight="1" x14ac:dyDescent="0.3">
      <c r="B59" s="25" t="s">
        <v>31</v>
      </c>
      <c r="C59" s="6"/>
      <c r="D59" s="6"/>
      <c r="E59" s="6"/>
      <c r="F59" s="6">
        <f>ExpenseTable57810[[#This Row],[ACTUAL]]-ExpenseTable57810[[#This Row],[PROPOSED]]</f>
        <v>0</v>
      </c>
      <c r="G59" s="7">
        <f>ExpenseTable57810[[#This Row],[ACTUAL]]-ExpenseTable57810[[#This Row],[PRIOR YEAR]]</f>
        <v>0</v>
      </c>
    </row>
    <row r="60" spans="2:7" ht="24" customHeight="1" x14ac:dyDescent="0.3">
      <c r="B60" s="4" t="s">
        <v>35</v>
      </c>
      <c r="C60" s="6">
        <v>1637.76</v>
      </c>
      <c r="D60" s="6">
        <f>SUM(D61:D71)</f>
        <v>940</v>
      </c>
      <c r="E60" s="6"/>
      <c r="F60" s="6">
        <f>ExpenseTable57810[[#This Row],[ACTUAL]]-ExpenseTable57810[[#This Row],[PROPOSED]]</f>
        <v>-940</v>
      </c>
      <c r="G60" s="7">
        <f>SUM(G61:G71)</f>
        <v>-1428.87</v>
      </c>
    </row>
    <row r="61" spans="2:7" ht="24" customHeight="1" x14ac:dyDescent="0.3">
      <c r="B61" s="25" t="s">
        <v>258</v>
      </c>
      <c r="C61" s="6">
        <v>74</v>
      </c>
      <c r="D61" s="6"/>
      <c r="E61" s="6"/>
      <c r="F61" s="6">
        <f>ExpenseTable57810[[#This Row],[ACTUAL]]-ExpenseTable57810[[#This Row],[PROPOSED]]</f>
        <v>0</v>
      </c>
      <c r="G61" s="7">
        <f>ExpenseTable57810[[#This Row],[ACTUAL]]-ExpenseTable57810[[#This Row],[PRIOR YEAR]]</f>
        <v>-74</v>
      </c>
    </row>
    <row r="62" spans="2:7" ht="24" customHeight="1" x14ac:dyDescent="0.3">
      <c r="B62" s="25" t="s">
        <v>304</v>
      </c>
      <c r="C62" s="6"/>
      <c r="D62" s="6"/>
      <c r="E62" s="6"/>
      <c r="F62" s="6">
        <f>ExpenseTable57810[[#This Row],[ACTUAL]]-ExpenseTable57810[[#This Row],[PROPOSED]]</f>
        <v>0</v>
      </c>
      <c r="G62" s="7">
        <f>ExpenseTable57810[[#This Row],[ACTUAL]]-ExpenseTable57810[[#This Row],[PRIOR YEAR]]</f>
        <v>0</v>
      </c>
    </row>
    <row r="63" spans="2:7" ht="24" customHeight="1" x14ac:dyDescent="0.3">
      <c r="B63" s="25" t="s">
        <v>240</v>
      </c>
      <c r="C63" s="6">
        <v>615</v>
      </c>
      <c r="D63" s="6">
        <v>250</v>
      </c>
      <c r="E63" s="6"/>
      <c r="F63" s="6">
        <f>ExpenseTable57810[[#This Row],[ACTUAL]]-ExpenseTable57810[[#This Row],[PROPOSED]]</f>
        <v>-250</v>
      </c>
      <c r="G63" s="7">
        <f>ExpenseTable57810[[#This Row],[ACTUAL]]-ExpenseTable57810[[#This Row],[PRIOR YEAR]]</f>
        <v>-615</v>
      </c>
    </row>
    <row r="64" spans="2:7" ht="24" customHeight="1" x14ac:dyDescent="0.3">
      <c r="B64" s="24" t="s">
        <v>241</v>
      </c>
      <c r="C64" s="6">
        <v>160</v>
      </c>
      <c r="D64" s="6">
        <v>180</v>
      </c>
      <c r="E64" s="6"/>
      <c r="F64" s="6">
        <f>ExpenseTable57810[[#This Row],[ACTUAL]]-ExpenseTable57810[[#This Row],[PROPOSED]]</f>
        <v>-180</v>
      </c>
      <c r="G64" s="7">
        <f>ExpenseTable57810[[#This Row],[ACTUAL]]-ExpenseTable57810[[#This Row],[PRIOR YEAR]]</f>
        <v>-160</v>
      </c>
    </row>
    <row r="65" spans="2:7" ht="24" customHeight="1" x14ac:dyDescent="0.3">
      <c r="B65" s="25" t="s">
        <v>48</v>
      </c>
      <c r="C65" s="6"/>
      <c r="D65" s="6"/>
      <c r="E65" s="6"/>
      <c r="F65" s="6">
        <f>ExpenseTable57810[[#This Row],[ACTUAL]]-ExpenseTable57810[[#This Row],[PROPOSED]]</f>
        <v>0</v>
      </c>
      <c r="G65" s="7">
        <f>ExpenseTable57810[[#This Row],[ACTUAL]]-ExpenseTable57810[[#This Row],[PRIOR YEAR]]</f>
        <v>0</v>
      </c>
    </row>
    <row r="66" spans="2:7" ht="24" customHeight="1" x14ac:dyDescent="0.3">
      <c r="B66" s="25" t="s">
        <v>2</v>
      </c>
      <c r="C66" s="6">
        <v>290</v>
      </c>
      <c r="D66" s="6">
        <v>290</v>
      </c>
      <c r="E66" s="6"/>
      <c r="F66" s="6">
        <f>ExpenseTable57810[[#This Row],[ACTUAL]]-ExpenseTable57810[[#This Row],[PROPOSED]]</f>
        <v>-290</v>
      </c>
      <c r="G66" s="7">
        <f>ExpenseTable57810[[#This Row],[ACTUAL]]-ExpenseTable57810[[#This Row],[PRIOR YEAR]]</f>
        <v>-290</v>
      </c>
    </row>
    <row r="67" spans="2:7" ht="24" customHeight="1" x14ac:dyDescent="0.3">
      <c r="B67" s="25" t="s">
        <v>53</v>
      </c>
      <c r="C67" s="6"/>
      <c r="D67" s="6"/>
      <c r="E67" s="6"/>
      <c r="F67" s="6">
        <f>ExpenseTable57810[[#This Row],[ACTUAL]]-ExpenseTable57810[[#This Row],[PROPOSED]]</f>
        <v>0</v>
      </c>
      <c r="G67" s="7">
        <f>ExpenseTable57810[[#This Row],[ACTUAL]]-ExpenseTable57810[[#This Row],[PRIOR YEAR]]</f>
        <v>0</v>
      </c>
    </row>
    <row r="68" spans="2:7" ht="24" customHeight="1" x14ac:dyDescent="0.3">
      <c r="B68" s="25" t="s">
        <v>232</v>
      </c>
      <c r="C68" s="6"/>
      <c r="D68" s="6"/>
      <c r="E68" s="6"/>
      <c r="F68" s="6">
        <f>ExpenseTable57810[[#This Row],[ACTUAL]]-ExpenseTable57810[[#This Row],[PROPOSED]]</f>
        <v>0</v>
      </c>
      <c r="G68" s="7">
        <f>ExpenseTable57810[[#This Row],[ACTUAL]]-ExpenseTable57810[[#This Row],[PRIOR YEAR]]</f>
        <v>0</v>
      </c>
    </row>
    <row r="69" spans="2:7" ht="24" customHeight="1" x14ac:dyDescent="0.3">
      <c r="B69" s="25" t="s">
        <v>47</v>
      </c>
      <c r="C69" s="6">
        <v>280</v>
      </c>
      <c r="D69" s="6">
        <v>200</v>
      </c>
      <c r="E69" s="6"/>
      <c r="F69" s="6">
        <f>ExpenseTable57810[[#This Row],[ACTUAL]]-ExpenseTable57810[[#This Row],[PROPOSED]]</f>
        <v>-200</v>
      </c>
      <c r="G69" s="7">
        <f>ExpenseTable57810[[#This Row],[ACTUAL]]-ExpenseTable57810[[#This Row],[PRIOR YEAR]]</f>
        <v>-280</v>
      </c>
    </row>
    <row r="70" spans="2:7" ht="24" customHeight="1" x14ac:dyDescent="0.3">
      <c r="B70" s="25" t="s">
        <v>3</v>
      </c>
      <c r="C70" s="6">
        <v>9.8699999999999992</v>
      </c>
      <c r="D70" s="6">
        <v>10</v>
      </c>
      <c r="E70" s="6"/>
      <c r="F70" s="6">
        <f>ExpenseTable57810[[#This Row],[ACTUAL]]-ExpenseTable57810[[#This Row],[PROPOSED]]</f>
        <v>-10</v>
      </c>
      <c r="G70" s="7">
        <f>ExpenseTable57810[[#This Row],[ACTUAL]]-ExpenseTable57810[[#This Row],[PRIOR YEAR]]</f>
        <v>-9.8699999999999992</v>
      </c>
    </row>
    <row r="71" spans="2:7" ht="24" customHeight="1" x14ac:dyDescent="0.3">
      <c r="B71" s="25" t="s">
        <v>0</v>
      </c>
      <c r="C71" s="6"/>
      <c r="D71" s="6">
        <v>10</v>
      </c>
      <c r="E71" s="6"/>
      <c r="F71" s="6">
        <f>ExpenseTable57810[[#This Row],[ACTUAL]]-ExpenseTable57810[[#This Row],[PROPOSED]]</f>
        <v>-10</v>
      </c>
      <c r="G71" s="7">
        <f>ExpenseTable57810[[#This Row],[ACTUAL]]-ExpenseTable57810[[#This Row],[PRIOR YEAR]]</f>
        <v>0</v>
      </c>
    </row>
    <row r="72" spans="2:7" ht="24" customHeight="1" x14ac:dyDescent="0.3">
      <c r="B72" s="4" t="s">
        <v>10</v>
      </c>
      <c r="C72" s="8">
        <f>C60+C56+C54+C41+C34</f>
        <v>13479.55</v>
      </c>
      <c r="D72" s="8">
        <f>D60+D57+D54+D41+D34+D40</f>
        <v>8050</v>
      </c>
      <c r="E72" s="65">
        <f>SUM(E34,E41,E54,E55,E56,E60)</f>
        <v>0</v>
      </c>
      <c r="F72" s="8">
        <f>ExpenseTable57810[[#Totals],[PROPOSED]]-ExpenseTable57810[[#Totals],[ACTUAL]]</f>
        <v>8050</v>
      </c>
      <c r="G72" s="9">
        <f>ExpenseTable57810[[#Totals],[ACTUAL]]-ExpenseTable57810[[#Totals],[PRIOR YEAR]]</f>
        <v>-13479.55</v>
      </c>
    </row>
    <row r="73" spans="2:7" ht="24" customHeight="1" x14ac:dyDescent="0.3">
      <c r="B73" s="1" t="s">
        <v>250</v>
      </c>
    </row>
  </sheetData>
  <mergeCells count="2">
    <mergeCell ref="B21:G21"/>
    <mergeCell ref="B29:F29"/>
  </mergeCells>
  <conditionalFormatting sqref="D11:G20 C72:G72 D63:G71 C34:G60">
    <cfRule type="expression" dxfId="17" priority="9">
      <formula>C11&lt;0</formula>
    </cfRule>
  </conditionalFormatting>
  <conditionalFormatting sqref="D61:G62">
    <cfRule type="expression" dxfId="16" priority="8">
      <formula>D61&lt;0</formula>
    </cfRule>
  </conditionalFormatting>
  <conditionalFormatting sqref="C20">
    <cfRule type="expression" dxfId="15" priority="7">
      <formula>C20&lt;0</formula>
    </cfRule>
  </conditionalFormatting>
  <conditionalFormatting sqref="C11:C19">
    <cfRule type="expression" dxfId="14" priority="3">
      <formula>C11&lt;0</formula>
    </cfRule>
  </conditionalFormatting>
  <conditionalFormatting sqref="C61:C62">
    <cfRule type="expression" dxfId="13" priority="1">
      <formula>C61&lt;0</formula>
    </cfRule>
  </conditionalFormatting>
  <conditionalFormatting sqref="C63:C71">
    <cfRule type="expression" dxfId="12" priority="2">
      <formula>C63&lt;0</formula>
    </cfRule>
  </conditionalFormatting>
  <printOptions horizontalCentered="1"/>
  <pageMargins left="0.25" right="0.25" top="0.75" bottom="0.75" header="0.3" footer="0.3"/>
  <pageSetup scale="73" fitToHeight="0" orientation="portrait" r:id="rId1"/>
  <headerFooter differentFirst="1">
    <oddFooter>Page &amp;P of &amp;N</oddFooter>
  </headerFooter>
  <rowBreaks count="2" manualBreakCount="2">
    <brk id="24" max="16383" man="1"/>
    <brk id="25" max="16383" man="1"/>
  </rowBreaks>
  <drawing r:id="rId2"/>
  <picture r:id="rId3"/>
  <tableParts count="2"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F38"/>
    </sheetView>
  </sheetViews>
  <sheetFormatPr defaultRowHeight="14.4" x14ac:dyDescent="0.3"/>
  <cols>
    <col min="4" max="4" width="9.6640625" customWidth="1"/>
  </cols>
  <sheetData>
    <row r="1" spans="1:6" x14ac:dyDescent="0.3">
      <c r="A1" t="s">
        <v>90</v>
      </c>
      <c r="B1" t="s">
        <v>91</v>
      </c>
      <c r="C1" t="s">
        <v>92</v>
      </c>
      <c r="D1" t="s">
        <v>216</v>
      </c>
      <c r="E1" t="s">
        <v>93</v>
      </c>
      <c r="F1" t="s">
        <v>94</v>
      </c>
    </row>
    <row r="2" spans="1:6" x14ac:dyDescent="0.3">
      <c r="A2" t="s">
        <v>98</v>
      </c>
      <c r="B2" t="s">
        <v>99</v>
      </c>
      <c r="C2" t="s">
        <v>100</v>
      </c>
      <c r="D2" t="s">
        <v>217</v>
      </c>
      <c r="E2" t="s">
        <v>101</v>
      </c>
      <c r="F2" t="s">
        <v>102</v>
      </c>
    </row>
    <row r="3" spans="1:6" x14ac:dyDescent="0.3">
      <c r="A3" t="s">
        <v>105</v>
      </c>
      <c r="B3" t="s">
        <v>106</v>
      </c>
      <c r="C3" t="s">
        <v>107</v>
      </c>
      <c r="D3" t="s">
        <v>217</v>
      </c>
      <c r="E3" t="s">
        <v>101</v>
      </c>
      <c r="F3" t="s">
        <v>102</v>
      </c>
    </row>
    <row r="4" spans="1:6" x14ac:dyDescent="0.3">
      <c r="A4" t="s">
        <v>110</v>
      </c>
      <c r="B4" t="s">
        <v>111</v>
      </c>
      <c r="C4" t="s">
        <v>112</v>
      </c>
      <c r="D4" t="s">
        <v>217</v>
      </c>
      <c r="E4" t="s">
        <v>101</v>
      </c>
      <c r="F4" t="s">
        <v>102</v>
      </c>
    </row>
    <row r="5" spans="1:6" x14ac:dyDescent="0.3">
      <c r="A5" t="s">
        <v>115</v>
      </c>
      <c r="B5" t="s">
        <v>116</v>
      </c>
      <c r="C5" t="s">
        <v>117</v>
      </c>
      <c r="D5" t="s">
        <v>217</v>
      </c>
      <c r="E5" t="s">
        <v>101</v>
      </c>
      <c r="F5" t="s">
        <v>102</v>
      </c>
    </row>
    <row r="6" spans="1:6" x14ac:dyDescent="0.3">
      <c r="A6" t="s">
        <v>119</v>
      </c>
      <c r="B6" t="s">
        <v>120</v>
      </c>
      <c r="C6" t="s">
        <v>215</v>
      </c>
      <c r="D6" t="s">
        <v>217</v>
      </c>
      <c r="E6" t="s">
        <v>101</v>
      </c>
      <c r="F6" t="s">
        <v>102</v>
      </c>
    </row>
    <row r="7" spans="1:6" x14ac:dyDescent="0.3">
      <c r="A7" t="s">
        <v>121</v>
      </c>
      <c r="B7" t="s">
        <v>122</v>
      </c>
      <c r="C7" t="s">
        <v>123</v>
      </c>
      <c r="D7" t="s">
        <v>217</v>
      </c>
      <c r="E7" t="s">
        <v>101</v>
      </c>
      <c r="F7" t="s">
        <v>124</v>
      </c>
    </row>
    <row r="8" spans="1:6" x14ac:dyDescent="0.3">
      <c r="A8" t="s">
        <v>125</v>
      </c>
      <c r="B8" t="s">
        <v>126</v>
      </c>
      <c r="C8" t="s">
        <v>127</v>
      </c>
      <c r="D8" t="s">
        <v>217</v>
      </c>
      <c r="E8" t="s">
        <v>101</v>
      </c>
      <c r="F8" t="s">
        <v>102</v>
      </c>
    </row>
    <row r="9" spans="1:6" x14ac:dyDescent="0.3">
      <c r="A9" t="s">
        <v>130</v>
      </c>
      <c r="B9" t="s">
        <v>131</v>
      </c>
      <c r="C9" t="s">
        <v>132</v>
      </c>
      <c r="D9" t="s">
        <v>217</v>
      </c>
      <c r="E9" t="s">
        <v>101</v>
      </c>
      <c r="F9" t="s">
        <v>102</v>
      </c>
    </row>
    <row r="10" spans="1:6" x14ac:dyDescent="0.3">
      <c r="A10" t="s">
        <v>133</v>
      </c>
      <c r="B10" t="s">
        <v>134</v>
      </c>
      <c r="C10" t="s">
        <v>135</v>
      </c>
      <c r="D10" t="s">
        <v>217</v>
      </c>
      <c r="E10" t="s">
        <v>101</v>
      </c>
      <c r="F10" t="s">
        <v>124</v>
      </c>
    </row>
    <row r="11" spans="1:6" x14ac:dyDescent="0.3">
      <c r="A11" t="s">
        <v>136</v>
      </c>
      <c r="B11" t="s">
        <v>137</v>
      </c>
      <c r="D11" t="s">
        <v>217</v>
      </c>
      <c r="E11" t="s">
        <v>101</v>
      </c>
      <c r="F11" t="s">
        <v>124</v>
      </c>
    </row>
    <row r="12" spans="1:6" x14ac:dyDescent="0.3">
      <c r="A12" t="s">
        <v>105</v>
      </c>
      <c r="B12" t="s">
        <v>106</v>
      </c>
      <c r="C12" t="s">
        <v>107</v>
      </c>
      <c r="D12" t="s">
        <v>217</v>
      </c>
      <c r="E12" t="s">
        <v>101</v>
      </c>
      <c r="F12" t="s">
        <v>102</v>
      </c>
    </row>
    <row r="13" spans="1:6" x14ac:dyDescent="0.3">
      <c r="A13" t="s">
        <v>138</v>
      </c>
      <c r="B13" t="s">
        <v>139</v>
      </c>
      <c r="C13" t="s">
        <v>140</v>
      </c>
      <c r="D13" t="s">
        <v>217</v>
      </c>
      <c r="E13" t="s">
        <v>101</v>
      </c>
      <c r="F13" t="s">
        <v>102</v>
      </c>
    </row>
    <row r="14" spans="1:6" x14ac:dyDescent="0.3">
      <c r="A14" t="s">
        <v>142</v>
      </c>
      <c r="B14" t="s">
        <v>143</v>
      </c>
      <c r="C14" t="s">
        <v>144</v>
      </c>
      <c r="D14" t="s">
        <v>217</v>
      </c>
      <c r="E14" t="s">
        <v>101</v>
      </c>
      <c r="F14" t="s">
        <v>102</v>
      </c>
    </row>
    <row r="15" spans="1:6" x14ac:dyDescent="0.3">
      <c r="A15" t="s">
        <v>146</v>
      </c>
      <c r="B15" t="s">
        <v>147</v>
      </c>
      <c r="C15" t="s">
        <v>148</v>
      </c>
      <c r="D15" t="s">
        <v>217</v>
      </c>
      <c r="E15" t="s">
        <v>101</v>
      </c>
      <c r="F15" t="s">
        <v>102</v>
      </c>
    </row>
    <row r="16" spans="1:6" x14ac:dyDescent="0.3">
      <c r="A16" t="s">
        <v>149</v>
      </c>
      <c r="B16" t="s">
        <v>150</v>
      </c>
      <c r="C16" t="s">
        <v>151</v>
      </c>
      <c r="D16" t="s">
        <v>217</v>
      </c>
      <c r="E16" t="s">
        <v>101</v>
      </c>
      <c r="F16" t="s">
        <v>102</v>
      </c>
    </row>
    <row r="17" spans="1:6" x14ac:dyDescent="0.3">
      <c r="A17" t="s">
        <v>154</v>
      </c>
      <c r="D17" t="s">
        <v>217</v>
      </c>
      <c r="E17" t="s">
        <v>101</v>
      </c>
      <c r="F17" t="s">
        <v>124</v>
      </c>
    </row>
    <row r="18" spans="1:6" x14ac:dyDescent="0.3">
      <c r="A18" t="s">
        <v>155</v>
      </c>
      <c r="D18" t="s">
        <v>217</v>
      </c>
      <c r="E18" t="s">
        <v>101</v>
      </c>
      <c r="F18" t="s">
        <v>102</v>
      </c>
    </row>
    <row r="19" spans="1:6" x14ac:dyDescent="0.3">
      <c r="A19" t="s">
        <v>157</v>
      </c>
      <c r="C19" t="s">
        <v>221</v>
      </c>
      <c r="D19" t="s">
        <v>217</v>
      </c>
      <c r="E19" t="s">
        <v>101</v>
      </c>
      <c r="F19" t="s">
        <v>102</v>
      </c>
    </row>
    <row r="20" spans="1:6" x14ac:dyDescent="0.3">
      <c r="A20" t="s">
        <v>160</v>
      </c>
      <c r="B20" t="s">
        <v>161</v>
      </c>
      <c r="D20" t="s">
        <v>217</v>
      </c>
      <c r="E20" t="s">
        <v>101</v>
      </c>
      <c r="F20" t="s">
        <v>102</v>
      </c>
    </row>
    <row r="21" spans="1:6" x14ac:dyDescent="0.3">
      <c r="A21" t="s">
        <v>163</v>
      </c>
      <c r="B21" t="s">
        <v>164</v>
      </c>
      <c r="C21" t="s">
        <v>165</v>
      </c>
      <c r="D21" t="s">
        <v>217</v>
      </c>
      <c r="E21" t="s">
        <v>101</v>
      </c>
      <c r="F21" t="s">
        <v>102</v>
      </c>
    </row>
    <row r="22" spans="1:6" x14ac:dyDescent="0.3">
      <c r="A22" t="s">
        <v>168</v>
      </c>
      <c r="D22" t="s">
        <v>217</v>
      </c>
      <c r="E22" t="s">
        <v>101</v>
      </c>
      <c r="F22" t="s">
        <v>102</v>
      </c>
    </row>
    <row r="23" spans="1:6" x14ac:dyDescent="0.3">
      <c r="A23" t="s">
        <v>169</v>
      </c>
      <c r="D23" t="s">
        <v>217</v>
      </c>
      <c r="E23" t="s">
        <v>101</v>
      </c>
      <c r="F23" t="s">
        <v>102</v>
      </c>
    </row>
    <row r="24" spans="1:6" x14ac:dyDescent="0.3">
      <c r="A24" t="s">
        <v>266</v>
      </c>
      <c r="D24" t="s">
        <v>217</v>
      </c>
      <c r="E24" t="s">
        <v>101</v>
      </c>
    </row>
    <row r="25" spans="1:6" x14ac:dyDescent="0.3">
      <c r="A25" t="s">
        <v>263</v>
      </c>
      <c r="B25" t="s">
        <v>264</v>
      </c>
      <c r="C25" t="s">
        <v>265</v>
      </c>
      <c r="D25" t="s">
        <v>217</v>
      </c>
      <c r="E25" t="s">
        <v>101</v>
      </c>
      <c r="F25" t="s">
        <v>102</v>
      </c>
    </row>
    <row r="26" spans="1:6" x14ac:dyDescent="0.3">
      <c r="A26" t="s">
        <v>262</v>
      </c>
      <c r="D26" t="s">
        <v>217</v>
      </c>
      <c r="E26" t="s">
        <v>101</v>
      </c>
      <c r="F26" t="s">
        <v>124</v>
      </c>
    </row>
    <row r="27" spans="1:6" x14ac:dyDescent="0.3">
      <c r="A27" t="s">
        <v>267</v>
      </c>
      <c r="B27">
        <v>5308773</v>
      </c>
      <c r="D27" t="s">
        <v>217</v>
      </c>
      <c r="E27" t="s">
        <v>101</v>
      </c>
      <c r="F27" t="s">
        <v>102</v>
      </c>
    </row>
    <row r="28" spans="1:6" x14ac:dyDescent="0.3">
      <c r="A28" t="s">
        <v>261</v>
      </c>
      <c r="D28" t="s">
        <v>217</v>
      </c>
      <c r="E28" t="s">
        <v>101</v>
      </c>
      <c r="F28" t="s">
        <v>124</v>
      </c>
    </row>
    <row r="29" spans="1:6" x14ac:dyDescent="0.3">
      <c r="A29" t="s">
        <v>260</v>
      </c>
      <c r="D29" t="s">
        <v>217</v>
      </c>
      <c r="E29" t="s">
        <v>101</v>
      </c>
      <c r="F29" t="s">
        <v>189</v>
      </c>
    </row>
    <row r="30" spans="1:6" x14ac:dyDescent="0.3">
      <c r="A30" t="s">
        <v>197</v>
      </c>
      <c r="C30" t="s">
        <v>198</v>
      </c>
      <c r="D30" t="s">
        <v>217</v>
      </c>
      <c r="E30" t="s">
        <v>101</v>
      </c>
      <c r="F30" t="s">
        <v>124</v>
      </c>
    </row>
    <row r="31" spans="1:6" x14ac:dyDescent="0.3">
      <c r="A31" t="s">
        <v>199</v>
      </c>
      <c r="B31" t="s">
        <v>200</v>
      </c>
      <c r="C31" t="s">
        <v>201</v>
      </c>
      <c r="D31" t="s">
        <v>217</v>
      </c>
      <c r="E31" t="s">
        <v>101</v>
      </c>
      <c r="F31" t="s">
        <v>102</v>
      </c>
    </row>
    <row r="32" spans="1:6" x14ac:dyDescent="0.3">
      <c r="A32" t="s">
        <v>202</v>
      </c>
      <c r="C32" t="s">
        <v>233</v>
      </c>
      <c r="D32" t="s">
        <v>217</v>
      </c>
      <c r="E32" t="s">
        <v>101</v>
      </c>
      <c r="F32" t="s">
        <v>102</v>
      </c>
    </row>
    <row r="33" spans="1:6" x14ac:dyDescent="0.3">
      <c r="A33" t="s">
        <v>259</v>
      </c>
      <c r="D33" t="s">
        <v>217</v>
      </c>
      <c r="E33" t="s">
        <v>101</v>
      </c>
      <c r="F33" t="s">
        <v>124</v>
      </c>
    </row>
    <row r="34" spans="1:6" x14ac:dyDescent="0.3">
      <c r="A34" t="s">
        <v>252</v>
      </c>
      <c r="D34" t="s">
        <v>217</v>
      </c>
      <c r="E34" t="s">
        <v>101</v>
      </c>
    </row>
    <row r="35" spans="1:6" x14ac:dyDescent="0.3">
      <c r="A35" t="s">
        <v>208</v>
      </c>
      <c r="B35" t="s">
        <v>209</v>
      </c>
      <c r="C35" t="s">
        <v>210</v>
      </c>
      <c r="D35" t="s">
        <v>217</v>
      </c>
      <c r="E35" t="s">
        <v>101</v>
      </c>
      <c r="F35" t="s">
        <v>102</v>
      </c>
    </row>
    <row r="36" spans="1:6" x14ac:dyDescent="0.3">
      <c r="A36" t="s">
        <v>247</v>
      </c>
      <c r="B36" t="s">
        <v>248</v>
      </c>
      <c r="C36" t="s">
        <v>249</v>
      </c>
      <c r="D36" t="s">
        <v>217</v>
      </c>
      <c r="E36" t="s">
        <v>101</v>
      </c>
      <c r="F36" t="s">
        <v>124</v>
      </c>
    </row>
    <row r="37" spans="1:6" x14ac:dyDescent="0.3">
      <c r="A37" t="s">
        <v>246</v>
      </c>
      <c r="D37" t="s">
        <v>217</v>
      </c>
      <c r="E37" t="s">
        <v>101</v>
      </c>
    </row>
    <row r="38" spans="1:6" x14ac:dyDescent="0.3">
      <c r="A38" t="s">
        <v>236</v>
      </c>
      <c r="B38" t="s">
        <v>164</v>
      </c>
      <c r="C38" t="s">
        <v>237</v>
      </c>
      <c r="D38" t="s">
        <v>217</v>
      </c>
      <c r="E38" t="s">
        <v>101</v>
      </c>
      <c r="F38" t="s">
        <v>102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workbookViewId="0">
      <selection activeCell="B5" sqref="B5"/>
    </sheetView>
  </sheetViews>
  <sheetFormatPr defaultRowHeight="14.4" x14ac:dyDescent="0.3"/>
  <cols>
    <col min="1" max="1" width="12.6640625" bestFit="1" customWidth="1"/>
    <col min="2" max="2" width="13.88671875" bestFit="1" customWidth="1"/>
  </cols>
  <sheetData>
    <row r="2" spans="1:10" x14ac:dyDescent="0.3">
      <c r="A2" t="s">
        <v>17</v>
      </c>
    </row>
    <row r="3" spans="1:10" x14ac:dyDescent="0.3">
      <c r="A3" s="33" t="s">
        <v>81</v>
      </c>
      <c r="B3" t="s">
        <v>228</v>
      </c>
      <c r="D3" t="s">
        <v>253</v>
      </c>
      <c r="G3" t="s">
        <v>254</v>
      </c>
      <c r="J3" t="s">
        <v>255</v>
      </c>
    </row>
    <row r="4" spans="1:10" x14ac:dyDescent="0.3">
      <c r="A4" s="34" t="s">
        <v>217</v>
      </c>
      <c r="B4" s="35">
        <v>41</v>
      </c>
      <c r="D4" s="56">
        <f>25/32</f>
        <v>0.78125</v>
      </c>
      <c r="G4" s="56">
        <f>RevenueTable46[[#Totals],[ACTUAL]]/RevenueTable46[[#Totals],[PROPOSED]]</f>
        <v>1.2119863157894737</v>
      </c>
      <c r="J4" s="56">
        <f>ExpenseTable57[[#Totals],[ACTUAL]]/ExpenseTable57[[#Totals],[PROPOSED]]</f>
        <v>1.1054863157894737</v>
      </c>
    </row>
    <row r="5" spans="1:10" x14ac:dyDescent="0.3">
      <c r="A5" s="40" t="s">
        <v>101</v>
      </c>
      <c r="B5" s="35">
        <v>38</v>
      </c>
      <c r="C5">
        <f>33/2</f>
        <v>16.5</v>
      </c>
      <c r="G5">
        <f>4156/6000</f>
        <v>0.69266666666666665</v>
      </c>
    </row>
    <row r="6" spans="1:10" x14ac:dyDescent="0.3">
      <c r="A6" s="40" t="s">
        <v>227</v>
      </c>
      <c r="B6" s="35">
        <v>3</v>
      </c>
      <c r="C6">
        <f>25/2</f>
        <v>12.5</v>
      </c>
    </row>
    <row r="7" spans="1:10" x14ac:dyDescent="0.3">
      <c r="A7" s="34" t="s">
        <v>227</v>
      </c>
      <c r="B7" s="35">
        <v>9</v>
      </c>
    </row>
    <row r="8" spans="1:10" x14ac:dyDescent="0.3">
      <c r="A8" s="40" t="s">
        <v>224</v>
      </c>
      <c r="B8" s="35">
        <v>2</v>
      </c>
    </row>
    <row r="9" spans="1:10" x14ac:dyDescent="0.3">
      <c r="A9" s="40" t="s">
        <v>227</v>
      </c>
      <c r="B9" s="35">
        <v>7</v>
      </c>
    </row>
    <row r="10" spans="1:10" x14ac:dyDescent="0.3">
      <c r="A10" s="34" t="s">
        <v>82</v>
      </c>
      <c r="B10" s="35">
        <v>50</v>
      </c>
    </row>
    <row r="12" spans="1:10" x14ac:dyDescent="0.3">
      <c r="A12" s="58">
        <f>32/40</f>
        <v>0.8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14941E1-CF0D-4065-AC9A-99B666D728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Summary 2013-2014</vt:lpstr>
      <vt:lpstr>Sums 13-14</vt:lpstr>
      <vt:lpstr>PTA 2013-2014 Budget</vt:lpstr>
      <vt:lpstr>PTA 2014-2015 Budget</vt:lpstr>
      <vt:lpstr>PTA 2016-2017 Budget</vt:lpstr>
      <vt:lpstr>PTA 2017-2018 Budget (P)</vt:lpstr>
      <vt:lpstr>Sheet2</vt:lpstr>
      <vt:lpstr>Sheet1</vt:lpstr>
      <vt:lpstr>Sheet4</vt:lpstr>
      <vt:lpstr>Sheet5</vt:lpstr>
      <vt:lpstr>Sheet3</vt:lpstr>
      <vt:lpstr>Members 2014-2015</vt:lpstr>
      <vt:lpstr>Inkind Donations</vt:lpstr>
      <vt:lpstr>Sheet6</vt:lpstr>
      <vt:lpstr>Committees</vt:lpstr>
      <vt:lpstr>'PTA 2013-2014 Budget'!FY</vt:lpstr>
      <vt:lpstr>'PTA 2014-2015 Budget'!FY</vt:lpstr>
      <vt:lpstr>'PTA 2016-2017 Budget'!FY</vt:lpstr>
      <vt:lpstr>'PTA 2017-2018 Budget (P)'!FY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2014-08-30T11:24:25Z</dcterms:created>
  <dcterms:modified xsi:type="dcterms:W3CDTF">2017-10-01T11:24:04Z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TC029300459991</vt:lpwstr>
  </property>
</Properties>
</file>